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8130" tabRatio="808" activeTab="1"/>
  </bookViews>
  <sheets>
    <sheet name="TABLA" sheetId="1" r:id="rId1"/>
    <sheet name="Depreciación Lineal" sheetId="2" r:id="rId2"/>
    <sheet name="Depreciación U. P." sheetId="3" r:id="rId3"/>
    <sheet name="Depreciación S. D." sheetId="4" r:id="rId4"/>
    <sheet name="Depreciación D. S. D." sheetId="5" r:id="rId5"/>
    <sheet name="COMPARACION" sheetId="6" r:id="rId6"/>
  </sheets>
  <definedNames>
    <definedName name="_xlfn.IFERROR" hidden="1">#NAME?</definedName>
    <definedName name="ITEM">'TABLA'!$C$9:$C$15</definedName>
  </definedNames>
  <calcPr fullCalcOnLoad="1"/>
</workbook>
</file>

<file path=xl/comments2.xml><?xml version="1.0" encoding="utf-8"?>
<comments xmlns="http://schemas.openxmlformats.org/spreadsheetml/2006/main">
  <authors>
    <author>Sebastiani</author>
  </authors>
  <commentList>
    <comment ref="B7" authorId="0">
      <text>
        <r>
          <rPr>
            <b/>
            <sz val="8"/>
            <rFont val="Tahoma"/>
            <family val="0"/>
          </rPr>
          <t>Seleccione de la lista</t>
        </r>
      </text>
    </comment>
    <comment ref="B9" authorId="0">
      <text>
        <r>
          <rPr>
            <b/>
            <sz val="8"/>
            <rFont val="Tahoma"/>
            <family val="0"/>
          </rPr>
          <t>Ingrese Una Fecha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Valor del Activo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Valor Residual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Esta fila pintada de color amarillo nos muestra la depreciación de los meses faltantes para un año.
Y al final encontraras la depreciación del ultimo periodo en meses que junto a esta completan 1 año</t>
        </r>
      </text>
    </comment>
  </commentList>
</comments>
</file>

<file path=xl/comments3.xml><?xml version="1.0" encoding="utf-8"?>
<comments xmlns="http://schemas.openxmlformats.org/spreadsheetml/2006/main">
  <authors>
    <author>Sebastiani</author>
  </authors>
  <commentList>
    <comment ref="B7" authorId="0">
      <text>
        <r>
          <rPr>
            <b/>
            <sz val="8"/>
            <rFont val="Tahoma"/>
            <family val="0"/>
          </rPr>
          <t>Seleccione de la lista</t>
        </r>
      </text>
    </comment>
    <comment ref="B9" authorId="0">
      <text>
        <r>
          <rPr>
            <b/>
            <sz val="8"/>
            <rFont val="Tahoma"/>
            <family val="0"/>
          </rPr>
          <t>Ingrese Una Fecha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Valor del Activo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Valor Residual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No toque nada aquí.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Sebastiani</author>
  </authors>
  <commentList>
    <comment ref="B7" authorId="0">
      <text>
        <r>
          <rPr>
            <b/>
            <sz val="8"/>
            <rFont val="Tahoma"/>
            <family val="0"/>
          </rPr>
          <t>Seleccione de la lista</t>
        </r>
      </text>
    </comment>
    <comment ref="B9" authorId="0">
      <text>
        <r>
          <rPr>
            <b/>
            <sz val="8"/>
            <rFont val="Tahoma"/>
            <family val="0"/>
          </rPr>
          <t>Ingrese Una Fecha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Sebastiani</author>
  </authors>
  <commentList>
    <comment ref="B7" authorId="0">
      <text>
        <r>
          <rPr>
            <b/>
            <sz val="8"/>
            <rFont val="Tahoma"/>
            <family val="0"/>
          </rPr>
          <t>Seleccione de la lista</t>
        </r>
      </text>
    </comment>
    <comment ref="B9" authorId="0">
      <text>
        <r>
          <rPr>
            <b/>
            <sz val="8"/>
            <rFont val="Tahoma"/>
            <family val="0"/>
          </rPr>
          <t>Ingrese Una Fecha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<sst xmlns="http://schemas.openxmlformats.org/spreadsheetml/2006/main" count="134" uniqueCount="69">
  <si>
    <t>Depreciación</t>
  </si>
  <si>
    <t>Vida Util</t>
  </si>
  <si>
    <t>Fecha de Adquisición</t>
  </si>
  <si>
    <t>%</t>
  </si>
  <si>
    <t>BIENES</t>
  </si>
  <si>
    <t>Item</t>
  </si>
  <si>
    <t xml:space="preserve">              DEPRECIACION LINEAL</t>
  </si>
  <si>
    <t>Descripción:</t>
  </si>
  <si>
    <t>Vehículos de transporte terrestre (excepto ferrocarriles); hornos en general.</t>
  </si>
  <si>
    <t>Equipos de procesamiento de datos.</t>
  </si>
  <si>
    <t>Maquinaria y equipo adquirido a partir del 1.1.1991.</t>
  </si>
  <si>
    <t>Otros bienes del activo fijo.</t>
  </si>
  <si>
    <t>Ganado de trabajo y reproducción; redes de pesca.</t>
  </si>
  <si>
    <t>Maquinaria y equipo utilizados por las actividades minera, petrolera y de construcción, excepto muebles, enseres y equipos de oficina.</t>
  </si>
  <si>
    <t>Bien a Depreciar (item)</t>
  </si>
  <si>
    <t>AÑOS</t>
  </si>
  <si>
    <t>ANUAL</t>
  </si>
  <si>
    <t>Inicio de la depreciacion</t>
  </si>
  <si>
    <t>TASA %</t>
  </si>
  <si>
    <t>.</t>
  </si>
  <si>
    <t>VALOR EN LIBROS</t>
  </si>
  <si>
    <t>DEPRECIACION</t>
  </si>
  <si>
    <t>ACUMULADA</t>
  </si>
  <si>
    <t>COSTO DEPRECIABLE</t>
  </si>
  <si>
    <t>Inmuebles.</t>
  </si>
  <si>
    <t>PERIODO</t>
  </si>
  <si>
    <t>CUADRO DE DEPRECIACION POR AÑOS</t>
  </si>
  <si>
    <t xml:space="preserve">              DEPRECIACION UNIDADES PRODUCIDAS</t>
  </si>
  <si>
    <t>DEPRECIACION LINEAL</t>
  </si>
  <si>
    <t>UNIDADES PRODUCIDAs</t>
  </si>
  <si>
    <t>Valor de Activo</t>
  </si>
  <si>
    <t>Capacidad (Unidades, km)</t>
  </si>
  <si>
    <t>Vida Util Estimada</t>
  </si>
  <si>
    <t xml:space="preserve">Vida Util </t>
  </si>
  <si>
    <t>METODO DE DEPRECIACION TRIBUTARIO VALIDO</t>
  </si>
  <si>
    <t>DEPRECIACION  UNITARIA</t>
  </si>
  <si>
    <t>DEPRECIACION  X PERIODO</t>
  </si>
  <si>
    <t>DEPRECIACION ACUMULADA</t>
  </si>
  <si>
    <t>VALOR EL LIBROS</t>
  </si>
  <si>
    <t>DIFERENCIA TEMPORAL</t>
  </si>
  <si>
    <t>Denominador de Factor</t>
  </si>
  <si>
    <t xml:space="preserve">              DEPRECIACION SUMA DE DIGITOS</t>
  </si>
  <si>
    <t xml:space="preserve">              DEPRECIACION DOBLE SALDO DECRECIENTE</t>
  </si>
  <si>
    <t>Doble Tasa %</t>
  </si>
  <si>
    <t>DOBLE TASA</t>
  </si>
  <si>
    <t>Valor de Desecho</t>
  </si>
  <si>
    <t>Depreciación Anual</t>
  </si>
  <si>
    <t>ULTIMO PERIODO</t>
  </si>
  <si>
    <t xml:space="preserve">FACTOR </t>
  </si>
  <si>
    <t>IMPORTE A DEPRECIAR</t>
  </si>
  <si>
    <t>Depreciacion</t>
  </si>
  <si>
    <t xml:space="preserve">Proporcion en Meses </t>
  </si>
  <si>
    <t>Proporcion en meses</t>
  </si>
  <si>
    <t>LINEAL</t>
  </si>
  <si>
    <t>COSTO</t>
  </si>
  <si>
    <t>VALOR RESIDUAL</t>
  </si>
  <si>
    <t>Σ DIGITOS</t>
  </si>
  <si>
    <t>DOBLE SALDO DEC.</t>
  </si>
  <si>
    <t>SALDO FIJO.</t>
  </si>
  <si>
    <t>ALGUNOS METODOS DE DEPRECIACION</t>
  </si>
  <si>
    <t>VIDA UTIL</t>
  </si>
  <si>
    <t>TASAS DE DEPRECIACION SEGÚN LEY</t>
  </si>
  <si>
    <t>Usted debe de ingresar las unidades producidas en</t>
  </si>
  <si>
    <t>la columna señala</t>
  </si>
  <si>
    <t>*Recuerde que las celdas pintadas de amarilla y gris</t>
  </si>
  <si>
    <t>solo deben de modificarse</t>
  </si>
  <si>
    <t xml:space="preserve">              </t>
  </si>
  <si>
    <t>CUADRO COMPARATIVO - DEPRECIACIONES</t>
  </si>
  <si>
    <t>* Estos resultados son usando las formulas financieras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</si>
</sst>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€&quot;#,##0;&quot;€&quot;\-#,##0"/>
    <numFmt numFmtId="179" formatCode="&quot;€&quot;#,##0;[Red]&quot;€&quot;\-#,##0"/>
    <numFmt numFmtId="180" formatCode="&quot;€&quot;#,##0.00;&quot;€&quot;\-#,##0.00"/>
    <numFmt numFmtId="181" formatCode="&quot;€&quot;#,##0.00;[Red]&quot;€&quot;\-#,##0.00"/>
    <numFmt numFmtId="182" formatCode="_ &quot;€&quot;* #,##0_ ;_ &quot;€&quot;* \-#,##0_ ;_ &quot;€&quot;* &quot;-&quot;_ ;_ @_ "/>
    <numFmt numFmtId="183" formatCode="_ &quot;€&quot;* #,##0.00_ ;_ &quot;€&quot;* \-#,##0.00_ ;_ &quot;€&quot;* &quot;-&quot;??_ ;_ @_ "/>
    <numFmt numFmtId="184" formatCode="0.00000000000%"/>
    <numFmt numFmtId="185" formatCode="0.0%"/>
    <numFmt numFmtId="186" formatCode="[$-280A]dddd\,\ dd&quot; de &quot;mmmm&quot; de &quot;yyyy"/>
    <numFmt numFmtId="187" formatCode="[$-280A]hh:mm:ss\ AM/PM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 * #,##0.0000_ ;_ * \-#,##0.0000_ ;_ * &quot;-&quot;????_ ;_ @_ "/>
    <numFmt numFmtId="193" formatCode="#\ ??/16"/>
    <numFmt numFmtId="194" formatCode="#\ ?/8"/>
    <numFmt numFmtId="195" formatCode="#\ ??/100"/>
    <numFmt numFmtId="196" formatCode="_ * #,##0.0000000_ ;_ * \-#,##0.0000000_ ;_ * &quot;-&quot;???????_ ;_ @_ "/>
    <numFmt numFmtId="197" formatCode="#\ ???/???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Trebuchet MS"/>
      <family val="2"/>
    </font>
    <font>
      <b/>
      <sz val="16"/>
      <color indexed="8"/>
      <name val="Calibri"/>
      <family val="2"/>
    </font>
    <font>
      <b/>
      <sz val="20"/>
      <color indexed="9"/>
      <name val="Arial Black"/>
      <family val="2"/>
    </font>
    <font>
      <b/>
      <sz val="11"/>
      <name val="Calibri"/>
      <family val="2"/>
    </font>
    <font>
      <b/>
      <sz val="16"/>
      <color indexed="9"/>
      <name val="Arial Black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26"/>
      <color indexed="9"/>
      <name val="Arial Black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22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9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Trebuchet MS"/>
      <family val="2"/>
    </font>
    <font>
      <b/>
      <sz val="16"/>
      <color theme="1"/>
      <name val="Calibri"/>
      <family val="2"/>
    </font>
    <font>
      <b/>
      <sz val="20"/>
      <color theme="0"/>
      <name val="Arial Black"/>
      <family val="2"/>
    </font>
    <font>
      <b/>
      <sz val="16"/>
      <color theme="0"/>
      <name val="Arial Black"/>
      <family val="2"/>
    </font>
    <font>
      <b/>
      <sz val="14"/>
      <color theme="0"/>
      <name val="Calibri"/>
      <family val="2"/>
    </font>
    <font>
      <b/>
      <sz val="26"/>
      <color theme="0"/>
      <name val="Arial Black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b/>
      <sz val="18"/>
      <color theme="0"/>
      <name val="Arial Black"/>
      <family val="2"/>
    </font>
    <font>
      <b/>
      <sz val="22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rgb="FFFF0000"/>
      </bottom>
    </border>
    <border>
      <left>
        <color indexed="63"/>
      </left>
      <right style="thin">
        <color theme="0"/>
      </right>
      <top>
        <color indexed="63"/>
      </top>
      <bottom style="thin">
        <color rgb="FFFF0000"/>
      </bottom>
    </border>
    <border>
      <left style="thin">
        <color theme="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theme="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theme="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rgb="FFFF0000"/>
      </left>
      <right style="thin">
        <color theme="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theme="0"/>
      </right>
      <top>
        <color indexed="63"/>
      </top>
      <bottom style="thin">
        <color rgb="FFFF0000"/>
      </bottom>
    </border>
    <border>
      <left style="thin">
        <color theme="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theme="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theme="0"/>
      </left>
      <right style="thin">
        <color theme="0"/>
      </right>
      <top style="thin">
        <color rgb="FFFF0000"/>
      </top>
      <bottom>
        <color indexed="63"/>
      </bottom>
    </border>
    <border>
      <left style="thin">
        <color theme="0"/>
      </left>
      <right>
        <color indexed="63"/>
      </right>
      <top style="thin">
        <color rgb="FFFF0000"/>
      </top>
      <bottom style="thin">
        <color theme="0"/>
      </bottom>
    </border>
    <border>
      <left>
        <color indexed="63"/>
      </left>
      <right>
        <color indexed="63"/>
      </right>
      <top style="thin">
        <color rgb="FFFF000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/>
    </xf>
    <xf numFmtId="14" fontId="56" fillId="0" borderId="10" xfId="0" applyNumberFormat="1" applyFont="1" applyBorder="1" applyAlignment="1">
      <alignment/>
    </xf>
    <xf numFmtId="10" fontId="57" fillId="0" borderId="10" xfId="0" applyNumberFormat="1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58" fillId="33" borderId="12" xfId="0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71" fontId="0" fillId="0" borderId="13" xfId="0" applyNumberFormat="1" applyBorder="1" applyAlignment="1">
      <alignment/>
    </xf>
    <xf numFmtId="10" fontId="56" fillId="0" borderId="13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1" fontId="0" fillId="0" borderId="14" xfId="0" applyNumberFormat="1" applyBorder="1" applyAlignment="1">
      <alignment/>
    </xf>
    <xf numFmtId="10" fontId="56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71" fontId="0" fillId="0" borderId="15" xfId="0" applyNumberFormat="1" applyBorder="1" applyAlignment="1">
      <alignment/>
    </xf>
    <xf numFmtId="10" fontId="56" fillId="0" borderId="15" xfId="0" applyNumberFormat="1" applyFont="1" applyBorder="1" applyAlignment="1">
      <alignment horizontal="center"/>
    </xf>
    <xf numFmtId="0" fontId="42" fillId="34" borderId="16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9" fillId="0" borderId="0" xfId="0" applyFont="1" applyFill="1" applyBorder="1" applyAlignment="1">
      <alignment horizontal="left" vertical="center" wrapText="1"/>
    </xf>
    <xf numFmtId="171" fontId="0" fillId="0" borderId="14" xfId="0" applyNumberFormat="1" applyFont="1" applyBorder="1" applyAlignment="1">
      <alignment/>
    </xf>
    <xf numFmtId="0" fontId="56" fillId="0" borderId="10" xfId="0" applyFont="1" applyFill="1" applyBorder="1" applyAlignment="1">
      <alignment/>
    </xf>
    <xf numFmtId="0" fontId="60" fillId="34" borderId="19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0" fontId="56" fillId="0" borderId="1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0" fontId="56" fillId="0" borderId="11" xfId="0" applyFont="1" applyBorder="1" applyAlignment="1">
      <alignment horizontal="center"/>
    </xf>
    <xf numFmtId="171" fontId="0" fillId="0" borderId="13" xfId="0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14" fontId="56" fillId="33" borderId="21" xfId="0" applyNumberFormat="1" applyFont="1" applyFill="1" applyBorder="1" applyAlignment="1">
      <alignment/>
    </xf>
    <xf numFmtId="171" fontId="56" fillId="33" borderId="10" xfId="0" applyNumberFormat="1" applyFont="1" applyFill="1" applyBorder="1" applyAlignment="1">
      <alignment/>
    </xf>
    <xf numFmtId="171" fontId="56" fillId="0" borderId="10" xfId="0" applyNumberFormat="1" applyFont="1" applyBorder="1" applyAlignment="1">
      <alignment horizontal="center"/>
    </xf>
    <xf numFmtId="171" fontId="0" fillId="33" borderId="22" xfId="0" applyNumberFormat="1" applyFill="1" applyBorder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10" fontId="56" fillId="0" borderId="0" xfId="0" applyNumberFormat="1" applyFont="1" applyBorder="1" applyAlignment="1">
      <alignment horizontal="center"/>
    </xf>
    <xf numFmtId="13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97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0" fontId="0" fillId="0" borderId="13" xfId="0" applyNumberFormat="1" applyFont="1" applyBorder="1" applyAlignment="1">
      <alignment/>
    </xf>
    <xf numFmtId="1" fontId="0" fillId="0" borderId="22" xfId="0" applyNumberFormat="1" applyBorder="1" applyAlignment="1">
      <alignment horizontal="center"/>
    </xf>
    <xf numFmtId="171" fontId="0" fillId="0" borderId="22" xfId="0" applyNumberFormat="1" applyBorder="1" applyAlignment="1">
      <alignment/>
    </xf>
    <xf numFmtId="10" fontId="56" fillId="0" borderId="22" xfId="0" applyNumberFormat="1" applyFont="1" applyBorder="1" applyAlignment="1">
      <alignment horizontal="center"/>
    </xf>
    <xf numFmtId="192" fontId="0" fillId="0" borderId="22" xfId="0" applyNumberFormat="1" applyBorder="1" applyAlignment="1">
      <alignment horizontal="center" vertical="center"/>
    </xf>
    <xf numFmtId="0" fontId="0" fillId="33" borderId="0" xfId="0" applyFill="1" applyAlignment="1">
      <alignment/>
    </xf>
    <xf numFmtId="171" fontId="0" fillId="0" borderId="14" xfId="0" applyNumberFormat="1" applyFill="1" applyBorder="1" applyAlignment="1">
      <alignment/>
    </xf>
    <xf numFmtId="171" fontId="0" fillId="33" borderId="14" xfId="0" applyNumberFormat="1" applyFill="1" applyBorder="1" applyAlignment="1">
      <alignment/>
    </xf>
    <xf numFmtId="171" fontId="0" fillId="0" borderId="15" xfId="0" applyNumberFormat="1" applyFill="1" applyBorder="1" applyAlignment="1">
      <alignment/>
    </xf>
    <xf numFmtId="171" fontId="0" fillId="33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6" fillId="0" borderId="0" xfId="0" applyFont="1" applyAlignment="1">
      <alignment horizontal="center"/>
    </xf>
    <xf numFmtId="0" fontId="42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39" fillId="34" borderId="23" xfId="0" applyFont="1" applyFill="1" applyBorder="1" applyAlignment="1">
      <alignment/>
    </xf>
    <xf numFmtId="0" fontId="42" fillId="0" borderId="0" xfId="0" applyFont="1" applyAlignment="1">
      <alignment/>
    </xf>
    <xf numFmtId="0" fontId="42" fillId="34" borderId="24" xfId="0" applyFont="1" applyFill="1" applyBorder="1" applyAlignment="1">
      <alignment/>
    </xf>
    <xf numFmtId="0" fontId="42" fillId="34" borderId="25" xfId="0" applyFont="1" applyFill="1" applyBorder="1" applyAlignment="1">
      <alignment/>
    </xf>
    <xf numFmtId="0" fontId="39" fillId="34" borderId="26" xfId="0" applyFont="1" applyFill="1" applyBorder="1" applyAlignment="1">
      <alignment/>
    </xf>
    <xf numFmtId="0" fontId="42" fillId="34" borderId="27" xfId="0" applyFont="1" applyFill="1" applyBorder="1" applyAlignment="1">
      <alignment/>
    </xf>
    <xf numFmtId="0" fontId="39" fillId="34" borderId="28" xfId="0" applyFont="1" applyFill="1" applyBorder="1" applyAlignment="1">
      <alignment/>
    </xf>
    <xf numFmtId="0" fontId="6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2" fillId="34" borderId="21" xfId="0" applyFont="1" applyFill="1" applyBorder="1" applyAlignment="1">
      <alignment horizontal="center"/>
    </xf>
    <xf numFmtId="0" fontId="46" fillId="0" borderId="0" xfId="45" applyAlignment="1" applyProtection="1">
      <alignment/>
      <protection/>
    </xf>
    <xf numFmtId="0" fontId="56" fillId="0" borderId="0" xfId="0" applyFont="1" applyAlignment="1">
      <alignment/>
    </xf>
    <xf numFmtId="0" fontId="29" fillId="0" borderId="0" xfId="0" applyFont="1" applyFill="1" applyBorder="1" applyAlignment="1">
      <alignment horizontal="left"/>
    </xf>
    <xf numFmtId="0" fontId="46" fillId="0" borderId="0" xfId="45" applyAlignment="1" applyProtection="1">
      <alignment horizontal="left" vertical="top"/>
      <protection/>
    </xf>
    <xf numFmtId="171" fontId="0" fillId="6" borderId="22" xfId="0" applyNumberFormat="1" applyFont="1" applyFill="1" applyBorder="1" applyAlignment="1">
      <alignment/>
    </xf>
    <xf numFmtId="0" fontId="0" fillId="6" borderId="22" xfId="0" applyFill="1" applyBorder="1" applyAlignment="1">
      <alignment/>
    </xf>
    <xf numFmtId="171" fontId="0" fillId="35" borderId="22" xfId="0" applyNumberFormat="1" applyFont="1" applyFill="1" applyBorder="1" applyAlignment="1">
      <alignment/>
    </xf>
    <xf numFmtId="0" fontId="0" fillId="35" borderId="0" xfId="0" applyFill="1" applyAlignment="1">
      <alignment/>
    </xf>
    <xf numFmtId="171" fontId="0" fillId="35" borderId="22" xfId="0" applyNumberFormat="1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1" fontId="0" fillId="6" borderId="22" xfId="0" applyNumberFormat="1" applyFill="1" applyBorder="1" applyAlignment="1">
      <alignment horizontal="center"/>
    </xf>
    <xf numFmtId="10" fontId="0" fillId="6" borderId="22" xfId="0" applyNumberFormat="1" applyFont="1" applyFill="1" applyBorder="1" applyAlignment="1">
      <alignment/>
    </xf>
    <xf numFmtId="171" fontId="0" fillId="6" borderId="22" xfId="0" applyNumberFormat="1" applyFill="1" applyBorder="1" applyAlignment="1">
      <alignment/>
    </xf>
    <xf numFmtId="10" fontId="56" fillId="6" borderId="22" xfId="0" applyNumberFormat="1" applyFont="1" applyFill="1" applyBorder="1" applyAlignment="1">
      <alignment horizontal="center"/>
    </xf>
    <xf numFmtId="0" fontId="64" fillId="0" borderId="0" xfId="0" applyFont="1" applyFill="1" applyAlignment="1">
      <alignment vertical="center"/>
    </xf>
    <xf numFmtId="175" fontId="0" fillId="33" borderId="10" xfId="0" applyNumberFormat="1" applyFill="1" applyBorder="1" applyAlignment="1">
      <alignment/>
    </xf>
    <xf numFmtId="171" fontId="0" fillId="33" borderId="10" xfId="0" applyNumberFormat="1" applyFill="1" applyBorder="1" applyAlignment="1">
      <alignment/>
    </xf>
    <xf numFmtId="171" fontId="0" fillId="33" borderId="29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6" borderId="22" xfId="0" applyFill="1" applyBorder="1" applyAlignment="1">
      <alignment horizontal="center"/>
    </xf>
    <xf numFmtId="10" fontId="0" fillId="6" borderId="22" xfId="0" applyNumberFormat="1" applyFill="1" applyBorder="1" applyAlignment="1">
      <alignment/>
    </xf>
    <xf numFmtId="1" fontId="0" fillId="6" borderId="22" xfId="0" applyNumberFormat="1" applyFill="1" applyBorder="1" applyAlignment="1">
      <alignment horizontal="center" vertical="center"/>
    </xf>
    <xf numFmtId="197" fontId="0" fillId="6" borderId="22" xfId="0" applyNumberFormat="1" applyFill="1" applyBorder="1" applyAlignment="1">
      <alignment vertical="center"/>
    </xf>
    <xf numFmtId="171" fontId="0" fillId="6" borderId="22" xfId="0" applyNumberFormat="1" applyFill="1" applyBorder="1" applyAlignment="1">
      <alignment horizontal="center" vertical="center"/>
    </xf>
    <xf numFmtId="171" fontId="0" fillId="6" borderId="22" xfId="0" applyNumberFormat="1" applyFill="1" applyBorder="1" applyAlignment="1">
      <alignment vertical="center"/>
    </xf>
    <xf numFmtId="13" fontId="0" fillId="6" borderId="22" xfId="0" applyNumberFormat="1" applyFill="1" applyBorder="1" applyAlignment="1">
      <alignment horizontal="center" vertical="center"/>
    </xf>
    <xf numFmtId="197" fontId="0" fillId="6" borderId="22" xfId="0" applyNumberFormat="1" applyFill="1" applyBorder="1" applyAlignment="1">
      <alignment/>
    </xf>
    <xf numFmtId="0" fontId="0" fillId="6" borderId="22" xfId="0" applyNumberFormat="1" applyFill="1" applyBorder="1" applyAlignment="1">
      <alignment/>
    </xf>
    <xf numFmtId="1" fontId="56" fillId="6" borderId="22" xfId="0" applyNumberFormat="1" applyFont="1" applyFill="1" applyBorder="1" applyAlignment="1">
      <alignment horizontal="center"/>
    </xf>
    <xf numFmtId="192" fontId="0" fillId="6" borderId="22" xfId="0" applyNumberFormat="1" applyFill="1" applyBorder="1" applyAlignment="1">
      <alignment horizontal="center" vertical="center"/>
    </xf>
    <xf numFmtId="1" fontId="31" fillId="6" borderId="22" xfId="0" applyNumberFormat="1" applyFont="1" applyFill="1" applyBorder="1" applyAlignment="1">
      <alignment horizontal="center"/>
    </xf>
    <xf numFmtId="171" fontId="31" fillId="6" borderId="22" xfId="0" applyNumberFormat="1" applyFont="1" applyFill="1" applyBorder="1" applyAlignment="1">
      <alignment/>
    </xf>
    <xf numFmtId="10" fontId="29" fillId="6" borderId="22" xfId="0" applyNumberFormat="1" applyFon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171" fontId="0" fillId="33" borderId="13" xfId="0" applyNumberFormat="1" applyFill="1" applyBorder="1" applyAlignment="1">
      <alignment/>
    </xf>
    <xf numFmtId="0" fontId="65" fillId="34" borderId="31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6" fillId="36" borderId="10" xfId="0" applyFont="1" applyFill="1" applyBorder="1" applyAlignment="1">
      <alignment horizontal="center" vertical="center"/>
    </xf>
    <xf numFmtId="0" fontId="66" fillId="34" borderId="0" xfId="0" applyFont="1" applyFill="1" applyAlignment="1">
      <alignment horizontal="center" vertical="center"/>
    </xf>
    <xf numFmtId="0" fontId="42" fillId="34" borderId="32" xfId="0" applyFont="1" applyFill="1" applyBorder="1" applyAlignment="1">
      <alignment horizontal="center" vertical="center"/>
    </xf>
    <xf numFmtId="0" fontId="42" fillId="34" borderId="33" xfId="0" applyFont="1" applyFill="1" applyBorder="1" applyAlignment="1">
      <alignment horizontal="center" vertical="center"/>
    </xf>
    <xf numFmtId="0" fontId="42" fillId="34" borderId="34" xfId="0" applyFont="1" applyFill="1" applyBorder="1" applyAlignment="1">
      <alignment horizontal="center" vertical="center"/>
    </xf>
    <xf numFmtId="0" fontId="42" fillId="34" borderId="35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42" fillId="34" borderId="36" xfId="0" applyFont="1" applyFill="1" applyBorder="1" applyAlignment="1">
      <alignment horizontal="center" wrapText="1"/>
    </xf>
    <xf numFmtId="0" fontId="42" fillId="34" borderId="16" xfId="0" applyFont="1" applyFill="1" applyBorder="1" applyAlignment="1">
      <alignment horizontal="center" wrapText="1"/>
    </xf>
    <xf numFmtId="0" fontId="67" fillId="34" borderId="37" xfId="0" applyFont="1" applyFill="1" applyBorder="1" applyAlignment="1">
      <alignment horizontal="center"/>
    </xf>
    <xf numFmtId="0" fontId="67" fillId="34" borderId="38" xfId="0" applyFont="1" applyFill="1" applyBorder="1" applyAlignment="1">
      <alignment horizontal="center"/>
    </xf>
    <xf numFmtId="0" fontId="67" fillId="34" borderId="39" xfId="0" applyFont="1" applyFill="1" applyBorder="1" applyAlignment="1">
      <alignment horizontal="center"/>
    </xf>
    <xf numFmtId="0" fontId="67" fillId="34" borderId="40" xfId="0" applyFont="1" applyFill="1" applyBorder="1" applyAlignment="1">
      <alignment horizontal="center"/>
    </xf>
    <xf numFmtId="0" fontId="67" fillId="34" borderId="41" xfId="0" applyFont="1" applyFill="1" applyBorder="1" applyAlignment="1">
      <alignment horizontal="center"/>
    </xf>
    <xf numFmtId="0" fontId="67" fillId="34" borderId="30" xfId="0" applyFont="1" applyFill="1" applyBorder="1" applyAlignment="1">
      <alignment horizontal="center"/>
    </xf>
    <xf numFmtId="0" fontId="67" fillId="34" borderId="42" xfId="0" applyFont="1" applyFill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68" fillId="0" borderId="41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0" fillId="34" borderId="36" xfId="0" applyFont="1" applyFill="1" applyBorder="1" applyAlignment="1">
      <alignment horizontal="center" wrapText="1"/>
    </xf>
    <xf numFmtId="0" fontId="60" fillId="34" borderId="43" xfId="0" applyFont="1" applyFill="1" applyBorder="1" applyAlignment="1">
      <alignment horizontal="center" wrapText="1"/>
    </xf>
    <xf numFmtId="0" fontId="60" fillId="34" borderId="36" xfId="0" applyFont="1" applyFill="1" applyBorder="1" applyAlignment="1">
      <alignment horizontal="center" vertical="center" wrapText="1"/>
    </xf>
    <xf numFmtId="0" fontId="60" fillId="34" borderId="43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63" fillId="34" borderId="0" xfId="0" applyFont="1" applyFill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42" fillId="34" borderId="19" xfId="0" applyFont="1" applyFill="1" applyBorder="1" applyAlignment="1">
      <alignment horizontal="center" vertical="center"/>
    </xf>
    <xf numFmtId="0" fontId="69" fillId="34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64" fillId="34" borderId="0" xfId="0" applyFont="1" applyFill="1" applyAlignment="1">
      <alignment horizontal="center" vertical="center"/>
    </xf>
    <xf numFmtId="0" fontId="39" fillId="34" borderId="44" xfId="0" applyFont="1" applyFill="1" applyBorder="1" applyAlignment="1">
      <alignment horizontal="center"/>
    </xf>
    <xf numFmtId="0" fontId="67" fillId="34" borderId="0" xfId="0" applyFont="1" applyFill="1" applyAlignment="1">
      <alignment horizontal="center"/>
    </xf>
    <xf numFmtId="0" fontId="5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14</xdr:row>
      <xdr:rowOff>47625</xdr:rowOff>
    </xdr:from>
    <xdr:to>
      <xdr:col>3</xdr:col>
      <xdr:colOff>742950</xdr:colOff>
      <xdr:row>49</xdr:row>
      <xdr:rowOff>95250</xdr:rowOff>
    </xdr:to>
    <xdr:sp>
      <xdr:nvSpPr>
        <xdr:cNvPr id="1" name="4 Abrir corchete"/>
        <xdr:cNvSpPr>
          <a:spLocks/>
        </xdr:cNvSpPr>
      </xdr:nvSpPr>
      <xdr:spPr>
        <a:xfrm>
          <a:off x="3752850" y="2952750"/>
          <a:ext cx="57150" cy="6715125"/>
        </a:xfrm>
        <a:prstGeom prst="leftBracket">
          <a:avLst>
            <a:gd name="adj" fmla="val -4993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17</xdr:row>
      <xdr:rowOff>95250</xdr:rowOff>
    </xdr:from>
    <xdr:to>
      <xdr:col>5</xdr:col>
      <xdr:colOff>76200</xdr:colOff>
      <xdr:row>25</xdr:row>
      <xdr:rowOff>180975</xdr:rowOff>
    </xdr:to>
    <xdr:sp>
      <xdr:nvSpPr>
        <xdr:cNvPr id="1" name="4 Conector recto de flecha"/>
        <xdr:cNvSpPr>
          <a:spLocks/>
        </xdr:cNvSpPr>
      </xdr:nvSpPr>
      <xdr:spPr>
        <a:xfrm flipV="1">
          <a:off x="2076450" y="3571875"/>
          <a:ext cx="2257425" cy="1609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14</xdr:row>
      <xdr:rowOff>123825</xdr:rowOff>
    </xdr:from>
    <xdr:to>
      <xdr:col>4</xdr:col>
      <xdr:colOff>47625</xdr:colOff>
      <xdr:row>49</xdr:row>
      <xdr:rowOff>123825</xdr:rowOff>
    </xdr:to>
    <xdr:sp>
      <xdr:nvSpPr>
        <xdr:cNvPr id="2" name="5 Abrir corchete"/>
        <xdr:cNvSpPr>
          <a:spLocks/>
        </xdr:cNvSpPr>
      </xdr:nvSpPr>
      <xdr:spPr>
        <a:xfrm>
          <a:off x="3600450" y="3028950"/>
          <a:ext cx="104775" cy="6667500"/>
        </a:xfrm>
        <a:prstGeom prst="leftBracket">
          <a:avLst>
            <a:gd name="adj" fmla="val -4987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14</xdr:row>
      <xdr:rowOff>28575</xdr:rowOff>
    </xdr:from>
    <xdr:to>
      <xdr:col>3</xdr:col>
      <xdr:colOff>209550</xdr:colOff>
      <xdr:row>47</xdr:row>
      <xdr:rowOff>123825</xdr:rowOff>
    </xdr:to>
    <xdr:sp>
      <xdr:nvSpPr>
        <xdr:cNvPr id="1" name="3 Abrir corchete"/>
        <xdr:cNvSpPr>
          <a:spLocks/>
        </xdr:cNvSpPr>
      </xdr:nvSpPr>
      <xdr:spPr>
        <a:xfrm>
          <a:off x="2990850" y="2933700"/>
          <a:ext cx="47625" cy="6381750"/>
        </a:xfrm>
        <a:prstGeom prst="leftBracket">
          <a:avLst>
            <a:gd name="adj" fmla="val -4993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I13" sqref="I13"/>
    </sheetView>
  </sheetViews>
  <sheetFormatPr defaultColWidth="11.421875" defaultRowHeight="15"/>
  <cols>
    <col min="1" max="1" width="0.85546875" style="0" customWidth="1"/>
    <col min="2" max="2" width="1.7109375" style="0" customWidth="1"/>
    <col min="3" max="3" width="6.140625" style="0" customWidth="1"/>
    <col min="4" max="4" width="55.421875" style="0" customWidth="1"/>
  </cols>
  <sheetData>
    <row r="1" spans="1:11" ht="15" customHeight="1">
      <c r="A1" s="85"/>
      <c r="B1" s="85"/>
      <c r="C1" s="85"/>
      <c r="D1" s="86"/>
      <c r="E1" s="85"/>
      <c r="F1" s="85"/>
      <c r="G1" s="85"/>
      <c r="H1" s="85"/>
      <c r="I1" s="85"/>
      <c r="J1" s="85"/>
      <c r="K1" s="85"/>
    </row>
    <row r="2" spans="1:11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7" spans="3:5" ht="21" customHeight="1">
      <c r="C7" s="126" t="s">
        <v>61</v>
      </c>
      <c r="D7" s="126"/>
      <c r="E7" s="126"/>
    </row>
    <row r="8" spans="3:7" ht="15">
      <c r="C8" s="87" t="s">
        <v>5</v>
      </c>
      <c r="D8" s="87" t="s">
        <v>4</v>
      </c>
      <c r="E8" s="87" t="s">
        <v>3</v>
      </c>
      <c r="G8" s="90"/>
    </row>
    <row r="9" spans="3:7" ht="21" customHeight="1">
      <c r="C9" s="2">
        <v>1</v>
      </c>
      <c r="D9" s="3" t="s">
        <v>12</v>
      </c>
      <c r="E9" s="4">
        <v>0.25</v>
      </c>
      <c r="G9" s="88"/>
    </row>
    <row r="10" spans="3:8" ht="30">
      <c r="C10" s="2">
        <v>2</v>
      </c>
      <c r="D10" s="3" t="s">
        <v>8</v>
      </c>
      <c r="E10" s="4">
        <v>0.2</v>
      </c>
      <c r="G10" s="89"/>
      <c r="H10" s="43"/>
    </row>
    <row r="11" spans="3:7" ht="45">
      <c r="C11" s="2">
        <v>3</v>
      </c>
      <c r="D11" s="3" t="s">
        <v>13</v>
      </c>
      <c r="E11" s="4">
        <v>0.2</v>
      </c>
      <c r="G11" s="91"/>
    </row>
    <row r="12" spans="3:5" ht="15">
      <c r="C12" s="2">
        <v>4</v>
      </c>
      <c r="D12" s="3" t="s">
        <v>9</v>
      </c>
      <c r="E12" s="4">
        <v>0.25</v>
      </c>
    </row>
    <row r="13" spans="3:5" ht="15">
      <c r="C13" s="2">
        <v>5</v>
      </c>
      <c r="D13" s="3" t="s">
        <v>10</v>
      </c>
      <c r="E13" s="4">
        <v>0.1</v>
      </c>
    </row>
    <row r="14" spans="3:5" ht="15">
      <c r="C14" s="2">
        <v>6</v>
      </c>
      <c r="D14" s="3" t="s">
        <v>11</v>
      </c>
      <c r="E14" s="4">
        <v>0.1</v>
      </c>
    </row>
    <row r="15" spans="3:5" ht="15">
      <c r="C15" s="2">
        <v>7</v>
      </c>
      <c r="D15" s="3" t="s">
        <v>24</v>
      </c>
      <c r="E15" s="4">
        <v>0.03</v>
      </c>
    </row>
  </sheetData>
  <sheetProtection/>
  <mergeCells count="1"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showGridLines="0" tabSelected="1" zoomScalePageLayoutView="0" workbookViewId="0" topLeftCell="A1">
      <pane ySplit="15" topLeftCell="A16" activePane="bottomLeft" state="frozen"/>
      <selection pane="topLeft" activeCell="A1" sqref="A1"/>
      <selection pane="bottomLeft" activeCell="A1" sqref="A1:K5"/>
    </sheetView>
  </sheetViews>
  <sheetFormatPr defaultColWidth="11.421875" defaultRowHeight="15"/>
  <cols>
    <col min="1" max="1" width="23.00390625" style="0" customWidth="1"/>
    <col min="2" max="2" width="10.8515625" style="0" customWidth="1"/>
    <col min="3" max="3" width="12.140625" style="0" customWidth="1"/>
    <col min="5" max="5" width="11.8515625" style="0" bestFit="1" customWidth="1"/>
    <col min="6" max="6" width="12.57421875" style="0" customWidth="1"/>
    <col min="7" max="7" width="11.57421875" style="0" customWidth="1"/>
    <col min="8" max="8" width="12.00390625" style="0" customWidth="1"/>
    <col min="9" max="9" width="14.28125" style="0" customWidth="1"/>
    <col min="10" max="10" width="16.57421875" style="0" bestFit="1" customWidth="1"/>
  </cols>
  <sheetData>
    <row r="1" spans="1:11" ht="15" customHeight="1">
      <c r="A1" s="129" t="s">
        <v>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7" spans="1:2" ht="15" customHeight="1">
      <c r="A7" s="7" t="s">
        <v>14</v>
      </c>
      <c r="B7" s="15">
        <v>7</v>
      </c>
    </row>
    <row r="8" spans="1:10" ht="30.75" customHeight="1">
      <c r="A8" s="7" t="s">
        <v>7</v>
      </c>
      <c r="B8" s="134" t="str">
        <f>+VLOOKUP(B7,TABLA!$C$9:$E$15,2,0)</f>
        <v>Inmuebles.</v>
      </c>
      <c r="C8" s="134"/>
      <c r="D8" s="134"/>
      <c r="E8" s="134"/>
      <c r="F8" s="134"/>
      <c r="G8" s="134"/>
      <c r="H8" s="134"/>
      <c r="I8" s="134"/>
      <c r="J8" s="134"/>
    </row>
    <row r="9" spans="1:2" ht="15" customHeight="1">
      <c r="A9" s="8" t="s">
        <v>2</v>
      </c>
      <c r="B9" s="44">
        <v>39913</v>
      </c>
    </row>
    <row r="10" spans="1:6" ht="16.5" customHeight="1">
      <c r="A10" s="12" t="s">
        <v>17</v>
      </c>
      <c r="B10" s="9">
        <f>+IF(DAY(B9)&lt;=14,B9-DAY(B9)+1,B9+DAY(_XLL.FIN.MES(B9,0))-DAY(B9)+1)</f>
        <v>39904</v>
      </c>
      <c r="D10" s="14"/>
      <c r="F10" s="6"/>
    </row>
    <row r="11" spans="5:10" ht="15.75">
      <c r="E11" s="140" t="s">
        <v>26</v>
      </c>
      <c r="F11" s="141"/>
      <c r="G11" s="141"/>
      <c r="H11" s="141"/>
      <c r="I11" s="141"/>
      <c r="J11" s="142"/>
    </row>
    <row r="12" spans="1:2" ht="15">
      <c r="A12" s="8" t="s">
        <v>30</v>
      </c>
      <c r="B12" s="45">
        <v>30000</v>
      </c>
    </row>
    <row r="13" spans="1:10" ht="15.75">
      <c r="A13" s="8" t="s">
        <v>45</v>
      </c>
      <c r="B13" s="45">
        <v>1000</v>
      </c>
      <c r="D13" s="49"/>
      <c r="E13" s="130" t="s">
        <v>25</v>
      </c>
      <c r="F13" s="135" t="s">
        <v>23</v>
      </c>
      <c r="G13" s="137" t="s">
        <v>21</v>
      </c>
      <c r="H13" s="138"/>
      <c r="I13" s="139"/>
      <c r="J13" s="132" t="s">
        <v>20</v>
      </c>
    </row>
    <row r="14" spans="5:10" ht="15">
      <c r="E14" s="131"/>
      <c r="F14" s="136"/>
      <c r="G14" s="25" t="s">
        <v>18</v>
      </c>
      <c r="H14" s="26" t="s">
        <v>25</v>
      </c>
      <c r="I14" s="27" t="s">
        <v>22</v>
      </c>
      <c r="J14" s="133"/>
    </row>
    <row r="15" spans="1:12" ht="15">
      <c r="A15" s="8" t="s">
        <v>0</v>
      </c>
      <c r="B15" s="10">
        <f>+VLOOKUP(B7,TABLA!$C$9:$E$15,3,0)</f>
        <v>0.03</v>
      </c>
      <c r="C15" s="11" t="s">
        <v>16</v>
      </c>
      <c r="E15" s="121" t="str">
        <f>IF(MONTH($B$10)=1,0,CONCATENATE(12-MONTH(B10)+1," Meses"))</f>
        <v>9 Meses</v>
      </c>
      <c r="F15" s="122">
        <f>IF(E15&lt;&gt;0,$B$12-$B$13,0)</f>
        <v>29000</v>
      </c>
      <c r="G15" s="123">
        <f>IF(E15=0,0,$B$15/12*(13-MONTH($B$10)))</f>
        <v>0.0225</v>
      </c>
      <c r="H15" s="122">
        <f>IF(E15&lt;&gt;0,F15*G15,"")</f>
        <v>652.5</v>
      </c>
      <c r="I15" s="122">
        <f>+H15</f>
        <v>652.5</v>
      </c>
      <c r="J15" s="122">
        <f>IF(E15&lt;&gt;0,$B$12-I15,"")</f>
        <v>29347.5</v>
      </c>
      <c r="L15" s="61"/>
    </row>
    <row r="16" spans="1:3" ht="15">
      <c r="A16" s="8" t="s">
        <v>1</v>
      </c>
      <c r="B16" s="1">
        <f>+INT(1/B15)</f>
        <v>33</v>
      </c>
      <c r="C16" s="1" t="s">
        <v>15</v>
      </c>
    </row>
    <row r="17" spans="1:12" ht="15">
      <c r="A17" s="13"/>
      <c r="E17" s="64">
        <f>IF(E16&lt;$B$16-1,ROW(E17)-ROW($E$16),"")</f>
        <v>1</v>
      </c>
      <c r="F17" s="65">
        <f>IF(E17&lt;&gt;"",$B$12-$B$13,0)</f>
        <v>29000</v>
      </c>
      <c r="G17" s="66">
        <f>IF(E17="","",$B$15)</f>
        <v>0.03</v>
      </c>
      <c r="H17" s="65">
        <f>IF(E17&lt;&gt;"",F17*G17,"")</f>
        <v>870</v>
      </c>
      <c r="I17" s="65">
        <f>IF(E17&lt;&gt;"",SUM($H$15:H17),0)</f>
        <v>1522.5</v>
      </c>
      <c r="J17" s="65">
        <f>IF(E17&lt;&gt;"",$B$12-I17,"")</f>
        <v>28477.5</v>
      </c>
      <c r="L17" s="49"/>
    </row>
    <row r="18" spans="1:12" ht="15">
      <c r="A18" s="13"/>
      <c r="C18" t="s">
        <v>19</v>
      </c>
      <c r="E18" s="64">
        <f aca="true" t="shared" si="0" ref="E18:E48">IF(E17&lt;$B$16-1,ROW(E18)-ROW($E$16),"")</f>
        <v>2</v>
      </c>
      <c r="F18" s="65">
        <f aca="true" t="shared" si="1" ref="F18:F48">IF(E18&lt;&gt;"",$B$12-$B$13,0)</f>
        <v>29000</v>
      </c>
      <c r="G18" s="66">
        <f aca="true" t="shared" si="2" ref="G18:G48">IF(E18="","",$B$15)</f>
        <v>0.03</v>
      </c>
      <c r="H18" s="65">
        <f>IF(E18&lt;&gt;"",F18*G18,"")</f>
        <v>870</v>
      </c>
      <c r="I18" s="65">
        <f>IF(E18&lt;&gt;"",SUM($H$15:H18),0)</f>
        <v>2392.5</v>
      </c>
      <c r="J18" s="65">
        <f>IF(E18&lt;&gt;"",$B$12-I18,"")</f>
        <v>27607.5</v>
      </c>
      <c r="L18" s="49"/>
    </row>
    <row r="19" spans="1:12" ht="15">
      <c r="A19" s="128" t="s">
        <v>46</v>
      </c>
      <c r="E19" s="64">
        <f t="shared" si="0"/>
        <v>3</v>
      </c>
      <c r="F19" s="65">
        <f t="shared" si="1"/>
        <v>29000</v>
      </c>
      <c r="G19" s="66">
        <f t="shared" si="2"/>
        <v>0.03</v>
      </c>
      <c r="H19" s="65">
        <f>IF(E19&lt;&gt;"",F19*G19,"")</f>
        <v>870</v>
      </c>
      <c r="I19" s="65">
        <f>IF(E19&lt;&gt;"",SUM($H$15:H19),0)</f>
        <v>3262.5</v>
      </c>
      <c r="J19" s="65">
        <f>IF(E19&lt;&gt;"",$B$12-I19,"")</f>
        <v>26737.5</v>
      </c>
      <c r="L19" s="49"/>
    </row>
    <row r="20" spans="1:12" ht="15">
      <c r="A20" s="128"/>
      <c r="E20" s="64">
        <f t="shared" si="0"/>
        <v>4</v>
      </c>
      <c r="F20" s="65">
        <f>IF(E20&lt;&gt;"",$B$12-$B$13,0)</f>
        <v>29000</v>
      </c>
      <c r="G20" s="66">
        <f t="shared" si="2"/>
        <v>0.03</v>
      </c>
      <c r="H20" s="65">
        <f>IF(E20&lt;&gt;"",F20*G20,"")</f>
        <v>870</v>
      </c>
      <c r="I20" s="65">
        <f>IF(E20&lt;&gt;"",SUM($H$15:H20),0)</f>
        <v>4132.5</v>
      </c>
      <c r="J20" s="65">
        <f>IF(E20&lt;&gt;"",$B$12-I20,"")</f>
        <v>25867.5</v>
      </c>
      <c r="L20" s="49"/>
    </row>
    <row r="21" spans="1:10" ht="15">
      <c r="A21" s="13"/>
      <c r="D21" s="48"/>
      <c r="E21" s="64">
        <f t="shared" si="0"/>
        <v>5</v>
      </c>
      <c r="F21" s="65">
        <f t="shared" si="1"/>
        <v>29000</v>
      </c>
      <c r="G21" s="66">
        <f t="shared" si="2"/>
        <v>0.03</v>
      </c>
      <c r="H21" s="65">
        <f aca="true" t="shared" si="3" ref="H21:H34">IF(E21&lt;&gt;"",F21*G21,"")</f>
        <v>870</v>
      </c>
      <c r="I21" s="65">
        <f>IF(E21&lt;&gt;"",SUM($H$15:H21),0)</f>
        <v>5002.5</v>
      </c>
      <c r="J21" s="65">
        <f>IF(E21&lt;&gt;"",$B$12-I21,"")</f>
        <v>24997.5</v>
      </c>
    </row>
    <row r="22" spans="1:10" ht="15">
      <c r="A22" s="13"/>
      <c r="D22" s="48"/>
      <c r="E22" s="64">
        <f t="shared" si="0"/>
        <v>6</v>
      </c>
      <c r="F22" s="65">
        <f t="shared" si="1"/>
        <v>29000</v>
      </c>
      <c r="G22" s="66">
        <f t="shared" si="2"/>
        <v>0.03</v>
      </c>
      <c r="H22" s="65">
        <f t="shared" si="3"/>
        <v>870</v>
      </c>
      <c r="I22" s="65">
        <f>IF(E22&lt;&gt;"",SUM($H$15:H22),0)</f>
        <v>5872.5</v>
      </c>
      <c r="J22" s="65">
        <f aca="true" t="shared" si="4" ref="J22:J47">IF(E22&lt;&gt;"",$B$12-I22,"")</f>
        <v>24127.5</v>
      </c>
    </row>
    <row r="23" spans="1:10" ht="15">
      <c r="A23" s="100" t="s">
        <v>64</v>
      </c>
      <c r="D23" s="48"/>
      <c r="E23" s="64">
        <f t="shared" si="0"/>
        <v>7</v>
      </c>
      <c r="F23" s="65">
        <f t="shared" si="1"/>
        <v>29000</v>
      </c>
      <c r="G23" s="66">
        <f t="shared" si="2"/>
        <v>0.03</v>
      </c>
      <c r="H23" s="65">
        <f t="shared" si="3"/>
        <v>870</v>
      </c>
      <c r="I23" s="65">
        <f>IF(E23&lt;&gt;"",SUM($H$15:H23),0)</f>
        <v>6742.5</v>
      </c>
      <c r="J23" s="65">
        <f t="shared" si="4"/>
        <v>23257.5</v>
      </c>
    </row>
    <row r="24" spans="1:10" ht="15">
      <c r="A24" s="100" t="s">
        <v>65</v>
      </c>
      <c r="D24" s="48"/>
      <c r="E24" s="64">
        <f t="shared" si="0"/>
        <v>8</v>
      </c>
      <c r="F24" s="65">
        <f t="shared" si="1"/>
        <v>29000</v>
      </c>
      <c r="G24" s="66">
        <f t="shared" si="2"/>
        <v>0.03</v>
      </c>
      <c r="H24" s="65">
        <f t="shared" si="3"/>
        <v>870</v>
      </c>
      <c r="I24" s="65">
        <f>IF(E24&lt;&gt;"",SUM($H$15:H24),0)</f>
        <v>7612.5</v>
      </c>
      <c r="J24" s="65">
        <f t="shared" si="4"/>
        <v>22387.5</v>
      </c>
    </row>
    <row r="25" spans="1:10" ht="15">
      <c r="A25" s="13"/>
      <c r="D25" s="48"/>
      <c r="E25" s="64">
        <f t="shared" si="0"/>
        <v>9</v>
      </c>
      <c r="F25" s="65">
        <f t="shared" si="1"/>
        <v>29000</v>
      </c>
      <c r="G25" s="66">
        <f t="shared" si="2"/>
        <v>0.03</v>
      </c>
      <c r="H25" s="65">
        <f t="shared" si="3"/>
        <v>870</v>
      </c>
      <c r="I25" s="65">
        <f>IF(E25&lt;&gt;"",SUM($H$15:H25),0)</f>
        <v>8482.5</v>
      </c>
      <c r="J25" s="65">
        <f t="shared" si="4"/>
        <v>21517.5</v>
      </c>
    </row>
    <row r="26" spans="1:10" ht="15">
      <c r="A26" s="13"/>
      <c r="E26" s="64">
        <f t="shared" si="0"/>
        <v>10</v>
      </c>
      <c r="F26" s="65">
        <f t="shared" si="1"/>
        <v>29000</v>
      </c>
      <c r="G26" s="66">
        <f t="shared" si="2"/>
        <v>0.03</v>
      </c>
      <c r="H26" s="65">
        <f t="shared" si="3"/>
        <v>870</v>
      </c>
      <c r="I26" s="65">
        <f>IF(E26&lt;&gt;"",SUM($H$15:H26),0)</f>
        <v>9352.5</v>
      </c>
      <c r="J26" s="65">
        <f t="shared" si="4"/>
        <v>20647.5</v>
      </c>
    </row>
    <row r="27" spans="1:10" ht="15">
      <c r="A27" s="13"/>
      <c r="E27" s="64">
        <f t="shared" si="0"/>
        <v>11</v>
      </c>
      <c r="F27" s="65">
        <f t="shared" si="1"/>
        <v>29000</v>
      </c>
      <c r="G27" s="66">
        <f t="shared" si="2"/>
        <v>0.03</v>
      </c>
      <c r="H27" s="65">
        <f t="shared" si="3"/>
        <v>870</v>
      </c>
      <c r="I27" s="65">
        <f>IF(E27&lt;&gt;"",SUM($H$15:H27),0)</f>
        <v>10222.5</v>
      </c>
      <c r="J27" s="65">
        <f t="shared" si="4"/>
        <v>19777.5</v>
      </c>
    </row>
    <row r="28" spans="5:10" ht="15">
      <c r="E28" s="64">
        <f t="shared" si="0"/>
        <v>12</v>
      </c>
      <c r="F28" s="65">
        <f t="shared" si="1"/>
        <v>29000</v>
      </c>
      <c r="G28" s="66">
        <f t="shared" si="2"/>
        <v>0.03</v>
      </c>
      <c r="H28" s="65">
        <f t="shared" si="3"/>
        <v>870</v>
      </c>
      <c r="I28" s="65">
        <f>IF(E28&lt;&gt;"",SUM($H$15:H28),0)</f>
        <v>11092.5</v>
      </c>
      <c r="J28" s="65">
        <f t="shared" si="4"/>
        <v>18907.5</v>
      </c>
    </row>
    <row r="29" spans="5:10" ht="15">
      <c r="E29" s="64">
        <f t="shared" si="0"/>
        <v>13</v>
      </c>
      <c r="F29" s="65">
        <f t="shared" si="1"/>
        <v>29000</v>
      </c>
      <c r="G29" s="66">
        <f t="shared" si="2"/>
        <v>0.03</v>
      </c>
      <c r="H29" s="65">
        <f t="shared" si="3"/>
        <v>870</v>
      </c>
      <c r="I29" s="65">
        <f>IF(E29&lt;&gt;"",SUM($H$15:H29),0)</f>
        <v>11962.5</v>
      </c>
      <c r="J29" s="65">
        <f t="shared" si="4"/>
        <v>18037.5</v>
      </c>
    </row>
    <row r="30" spans="5:10" ht="15">
      <c r="E30" s="64">
        <f t="shared" si="0"/>
        <v>14</v>
      </c>
      <c r="F30" s="65">
        <f t="shared" si="1"/>
        <v>29000</v>
      </c>
      <c r="G30" s="66">
        <f t="shared" si="2"/>
        <v>0.03</v>
      </c>
      <c r="H30" s="65">
        <f t="shared" si="3"/>
        <v>870</v>
      </c>
      <c r="I30" s="65">
        <f>IF(E30&lt;&gt;"",SUM($H$15:H30),0)</f>
        <v>12832.5</v>
      </c>
      <c r="J30" s="65">
        <f t="shared" si="4"/>
        <v>17167.5</v>
      </c>
    </row>
    <row r="31" spans="5:10" ht="15">
      <c r="E31" s="64">
        <f t="shared" si="0"/>
        <v>15</v>
      </c>
      <c r="F31" s="65">
        <f t="shared" si="1"/>
        <v>29000</v>
      </c>
      <c r="G31" s="66">
        <f t="shared" si="2"/>
        <v>0.03</v>
      </c>
      <c r="H31" s="65">
        <f t="shared" si="3"/>
        <v>870</v>
      </c>
      <c r="I31" s="65">
        <f>IF(E31&lt;&gt;"",SUM($H$15:H31),0)</f>
        <v>13702.5</v>
      </c>
      <c r="J31" s="65">
        <f t="shared" si="4"/>
        <v>16297.5</v>
      </c>
    </row>
    <row r="32" spans="5:10" ht="15">
      <c r="E32" s="64">
        <f t="shared" si="0"/>
        <v>16</v>
      </c>
      <c r="F32" s="65">
        <f t="shared" si="1"/>
        <v>29000</v>
      </c>
      <c r="G32" s="66">
        <f t="shared" si="2"/>
        <v>0.03</v>
      </c>
      <c r="H32" s="65">
        <f t="shared" si="3"/>
        <v>870</v>
      </c>
      <c r="I32" s="65">
        <f>IF(E32&lt;&gt;"",SUM($H$15:H32),0)</f>
        <v>14572.5</v>
      </c>
      <c r="J32" s="65">
        <f t="shared" si="4"/>
        <v>15427.5</v>
      </c>
    </row>
    <row r="33" spans="5:10" ht="15">
      <c r="E33" s="64">
        <f t="shared" si="0"/>
        <v>17</v>
      </c>
      <c r="F33" s="65">
        <f t="shared" si="1"/>
        <v>29000</v>
      </c>
      <c r="G33" s="66">
        <f t="shared" si="2"/>
        <v>0.03</v>
      </c>
      <c r="H33" s="65">
        <f t="shared" si="3"/>
        <v>870</v>
      </c>
      <c r="I33" s="65">
        <f>IF(E33&lt;&gt;"",SUM($H$15:H33),0)</f>
        <v>15442.5</v>
      </c>
      <c r="J33" s="65">
        <f t="shared" si="4"/>
        <v>14557.5</v>
      </c>
    </row>
    <row r="34" spans="5:10" ht="15">
      <c r="E34" s="64">
        <f t="shared" si="0"/>
        <v>18</v>
      </c>
      <c r="F34" s="65">
        <f t="shared" si="1"/>
        <v>29000</v>
      </c>
      <c r="G34" s="66">
        <f t="shared" si="2"/>
        <v>0.03</v>
      </c>
      <c r="H34" s="65">
        <f t="shared" si="3"/>
        <v>870</v>
      </c>
      <c r="I34" s="65">
        <f>IF(E34&lt;&gt;"",SUM($H$15:H34),0)</f>
        <v>16312.5</v>
      </c>
      <c r="J34" s="65">
        <f t="shared" si="4"/>
        <v>13687.5</v>
      </c>
    </row>
    <row r="35" spans="5:10" ht="15">
      <c r="E35" s="64">
        <f t="shared" si="0"/>
        <v>19</v>
      </c>
      <c r="F35" s="65">
        <f t="shared" si="1"/>
        <v>29000</v>
      </c>
      <c r="G35" s="66">
        <f t="shared" si="2"/>
        <v>0.03</v>
      </c>
      <c r="H35" s="65">
        <f aca="true" t="shared" si="5" ref="H35:H46">IF(E35&lt;&gt;"",F35*G35,"")</f>
        <v>870</v>
      </c>
      <c r="I35" s="65">
        <f>IF(E35&lt;&gt;"",SUM($H$15:H35),0)</f>
        <v>17182.5</v>
      </c>
      <c r="J35" s="65">
        <f t="shared" si="4"/>
        <v>12817.5</v>
      </c>
    </row>
    <row r="36" spans="5:10" ht="15">
      <c r="E36" s="64">
        <f t="shared" si="0"/>
        <v>20</v>
      </c>
      <c r="F36" s="65">
        <f t="shared" si="1"/>
        <v>29000</v>
      </c>
      <c r="G36" s="66">
        <f t="shared" si="2"/>
        <v>0.03</v>
      </c>
      <c r="H36" s="65">
        <f t="shared" si="5"/>
        <v>870</v>
      </c>
      <c r="I36" s="65">
        <f>IF(E36&lt;&gt;"",SUM($H$15:H36),0)</f>
        <v>18052.5</v>
      </c>
      <c r="J36" s="65">
        <f t="shared" si="4"/>
        <v>11947.5</v>
      </c>
    </row>
    <row r="37" spans="5:10" ht="15">
      <c r="E37" s="64">
        <f t="shared" si="0"/>
        <v>21</v>
      </c>
      <c r="F37" s="65">
        <f t="shared" si="1"/>
        <v>29000</v>
      </c>
      <c r="G37" s="66">
        <f t="shared" si="2"/>
        <v>0.03</v>
      </c>
      <c r="H37" s="65">
        <f t="shared" si="5"/>
        <v>870</v>
      </c>
      <c r="I37" s="65">
        <f>IF(E37&lt;&gt;"",SUM($H$15:H37),0)</f>
        <v>18922.5</v>
      </c>
      <c r="J37" s="65">
        <f t="shared" si="4"/>
        <v>11077.5</v>
      </c>
    </row>
    <row r="38" spans="5:10" ht="15">
      <c r="E38" s="64">
        <f t="shared" si="0"/>
        <v>22</v>
      </c>
      <c r="F38" s="65">
        <f t="shared" si="1"/>
        <v>29000</v>
      </c>
      <c r="G38" s="66">
        <f t="shared" si="2"/>
        <v>0.03</v>
      </c>
      <c r="H38" s="65">
        <f t="shared" si="5"/>
        <v>870</v>
      </c>
      <c r="I38" s="65">
        <f>IF(E38&lt;&gt;"",SUM($H$15:H38),0)</f>
        <v>19792.5</v>
      </c>
      <c r="J38" s="65">
        <f t="shared" si="4"/>
        <v>10207.5</v>
      </c>
    </row>
    <row r="39" spans="5:10" ht="15">
      <c r="E39" s="64">
        <f t="shared" si="0"/>
        <v>23</v>
      </c>
      <c r="F39" s="65">
        <f t="shared" si="1"/>
        <v>29000</v>
      </c>
      <c r="G39" s="66">
        <f t="shared" si="2"/>
        <v>0.03</v>
      </c>
      <c r="H39" s="65">
        <f t="shared" si="5"/>
        <v>870</v>
      </c>
      <c r="I39" s="65">
        <f>IF(E39&lt;&gt;"",SUM($H$15:H39),0)</f>
        <v>20662.5</v>
      </c>
      <c r="J39" s="65">
        <f t="shared" si="4"/>
        <v>9337.5</v>
      </c>
    </row>
    <row r="40" spans="5:10" ht="15">
      <c r="E40" s="64">
        <f t="shared" si="0"/>
        <v>24</v>
      </c>
      <c r="F40" s="65">
        <f t="shared" si="1"/>
        <v>29000</v>
      </c>
      <c r="G40" s="66">
        <f t="shared" si="2"/>
        <v>0.03</v>
      </c>
      <c r="H40" s="65">
        <f t="shared" si="5"/>
        <v>870</v>
      </c>
      <c r="I40" s="65">
        <f>IF(E40&lt;&gt;"",SUM($H$15:H40),0)</f>
        <v>21532.5</v>
      </c>
      <c r="J40" s="65">
        <f t="shared" si="4"/>
        <v>8467.5</v>
      </c>
    </row>
    <row r="41" spans="5:10" ht="15">
      <c r="E41" s="64">
        <f t="shared" si="0"/>
        <v>25</v>
      </c>
      <c r="F41" s="65">
        <f t="shared" si="1"/>
        <v>29000</v>
      </c>
      <c r="G41" s="66">
        <f t="shared" si="2"/>
        <v>0.03</v>
      </c>
      <c r="H41" s="65">
        <f t="shared" si="5"/>
        <v>870</v>
      </c>
      <c r="I41" s="65">
        <f>IF(E41&lt;&gt;"",SUM($H$15:H41),0)</f>
        <v>22402.5</v>
      </c>
      <c r="J41" s="65">
        <f t="shared" si="4"/>
        <v>7597.5</v>
      </c>
    </row>
    <row r="42" spans="5:10" ht="15">
      <c r="E42" s="64">
        <f t="shared" si="0"/>
        <v>26</v>
      </c>
      <c r="F42" s="65">
        <f t="shared" si="1"/>
        <v>29000</v>
      </c>
      <c r="G42" s="66">
        <f t="shared" si="2"/>
        <v>0.03</v>
      </c>
      <c r="H42" s="65">
        <f t="shared" si="5"/>
        <v>870</v>
      </c>
      <c r="I42" s="65">
        <f>IF(E42&lt;&gt;"",SUM($H$15:H42),0)</f>
        <v>23272.5</v>
      </c>
      <c r="J42" s="65">
        <f t="shared" si="4"/>
        <v>6727.5</v>
      </c>
    </row>
    <row r="43" spans="5:10" ht="15">
      <c r="E43" s="64">
        <f t="shared" si="0"/>
        <v>27</v>
      </c>
      <c r="F43" s="65">
        <f t="shared" si="1"/>
        <v>29000</v>
      </c>
      <c r="G43" s="66">
        <f t="shared" si="2"/>
        <v>0.03</v>
      </c>
      <c r="H43" s="65">
        <f t="shared" si="5"/>
        <v>870</v>
      </c>
      <c r="I43" s="65">
        <f>IF(E43&lt;&gt;"",SUM($H$15:H43),0)</f>
        <v>24142.5</v>
      </c>
      <c r="J43" s="65">
        <f t="shared" si="4"/>
        <v>5857.5</v>
      </c>
    </row>
    <row r="44" spans="5:10" ht="15">
      <c r="E44" s="64">
        <f t="shared" si="0"/>
        <v>28</v>
      </c>
      <c r="F44" s="65">
        <f t="shared" si="1"/>
        <v>29000</v>
      </c>
      <c r="G44" s="66">
        <f t="shared" si="2"/>
        <v>0.03</v>
      </c>
      <c r="H44" s="65">
        <f t="shared" si="5"/>
        <v>870</v>
      </c>
      <c r="I44" s="65">
        <f>IF(E44&lt;&gt;"",SUM($H$15:H44),0)</f>
        <v>25012.5</v>
      </c>
      <c r="J44" s="65">
        <f t="shared" si="4"/>
        <v>4987.5</v>
      </c>
    </row>
    <row r="45" spans="5:10" ht="15">
      <c r="E45" s="64">
        <f t="shared" si="0"/>
        <v>29</v>
      </c>
      <c r="F45" s="65">
        <f t="shared" si="1"/>
        <v>29000</v>
      </c>
      <c r="G45" s="66">
        <f t="shared" si="2"/>
        <v>0.03</v>
      </c>
      <c r="H45" s="65">
        <f t="shared" si="5"/>
        <v>870</v>
      </c>
      <c r="I45" s="65">
        <f>IF(E45&lt;&gt;"",SUM($H$15:H45),0)</f>
        <v>25882.5</v>
      </c>
      <c r="J45" s="65">
        <f t="shared" si="4"/>
        <v>4117.5</v>
      </c>
    </row>
    <row r="46" spans="5:10" ht="15">
      <c r="E46" s="64">
        <f t="shared" si="0"/>
        <v>30</v>
      </c>
      <c r="F46" s="65">
        <f t="shared" si="1"/>
        <v>29000</v>
      </c>
      <c r="G46" s="66">
        <f t="shared" si="2"/>
        <v>0.03</v>
      </c>
      <c r="H46" s="65">
        <f t="shared" si="5"/>
        <v>870</v>
      </c>
      <c r="I46" s="65">
        <f>IF(E46&lt;&gt;"",SUM($H$15:H46),0)</f>
        <v>26752.5</v>
      </c>
      <c r="J46" s="65">
        <f t="shared" si="4"/>
        <v>3247.5</v>
      </c>
    </row>
    <row r="47" spans="5:10" ht="15">
      <c r="E47" s="64">
        <f t="shared" si="0"/>
        <v>31</v>
      </c>
      <c r="F47" s="65">
        <f t="shared" si="1"/>
        <v>29000</v>
      </c>
      <c r="G47" s="66">
        <f t="shared" si="2"/>
        <v>0.03</v>
      </c>
      <c r="H47" s="65">
        <f>IF(E47&lt;&gt;"",F47*G47,"")</f>
        <v>870</v>
      </c>
      <c r="I47" s="65">
        <f>IF(E47&lt;&gt;"",SUM($H$15:H47),0)</f>
        <v>27622.5</v>
      </c>
      <c r="J47" s="65">
        <f t="shared" si="4"/>
        <v>2377.5</v>
      </c>
    </row>
    <row r="48" spans="5:10" ht="15">
      <c r="E48" s="64">
        <f t="shared" si="0"/>
        <v>32</v>
      </c>
      <c r="F48" s="65">
        <f t="shared" si="1"/>
        <v>29000</v>
      </c>
      <c r="G48" s="66">
        <f t="shared" si="2"/>
        <v>0.03</v>
      </c>
      <c r="H48" s="65">
        <f>IF(E48&lt;&gt;"",F48*G48,"")</f>
        <v>870</v>
      </c>
      <c r="I48" s="65">
        <f>IF(E48&lt;&gt;"",SUM($H$15:H48),0)</f>
        <v>28492.5</v>
      </c>
      <c r="J48" s="65">
        <f>IF(E48&lt;&gt;"",$B$12-I48,"")</f>
        <v>1507.5</v>
      </c>
    </row>
    <row r="50" spans="3:10" ht="15">
      <c r="C50" s="127" t="s">
        <v>47</v>
      </c>
      <c r="D50" s="127"/>
      <c r="E50" s="124" t="str">
        <f>IF(E15&lt;&gt;0,CONCATENATE(MONTH(B10)-1," Meses"),$B$16)</f>
        <v>3 Meses</v>
      </c>
      <c r="F50" s="103">
        <f>$B$12-$B$13</f>
        <v>29000</v>
      </c>
      <c r="G50" s="104">
        <f>+$B$15-G15</f>
        <v>0.0075</v>
      </c>
      <c r="H50" s="103">
        <f>F50*G50</f>
        <v>217.5</v>
      </c>
      <c r="I50" s="103">
        <f>+SUM(H15:H50)</f>
        <v>28710</v>
      </c>
      <c r="J50" s="103">
        <f>$B$12-I50</f>
        <v>1290</v>
      </c>
    </row>
    <row r="51" ht="15">
      <c r="E51" s="5"/>
    </row>
    <row r="52" ht="15">
      <c r="E52" s="5"/>
    </row>
    <row r="53" ht="15">
      <c r="E53" s="5"/>
    </row>
    <row r="54" ht="15">
      <c r="E54" s="5"/>
    </row>
    <row r="55" ht="15">
      <c r="E55" s="5"/>
    </row>
    <row r="56" ht="15">
      <c r="E56" s="5"/>
    </row>
    <row r="57" ht="15">
      <c r="E57" s="5"/>
    </row>
    <row r="58" ht="15">
      <c r="E58" s="5"/>
    </row>
    <row r="59" ht="15">
      <c r="E59" s="5"/>
    </row>
    <row r="60" ht="15">
      <c r="E60" s="5"/>
    </row>
    <row r="61" ht="15">
      <c r="E61" s="5"/>
    </row>
    <row r="62" ht="15">
      <c r="E62" s="5"/>
    </row>
    <row r="63" ht="15">
      <c r="E63" s="5"/>
    </row>
    <row r="64" ht="15">
      <c r="E64" s="5"/>
    </row>
    <row r="65" ht="15">
      <c r="E65" s="5"/>
    </row>
    <row r="66" ht="15">
      <c r="E66" s="5"/>
    </row>
    <row r="67" ht="15">
      <c r="E67" s="5"/>
    </row>
    <row r="68" ht="15">
      <c r="E68" s="5"/>
    </row>
    <row r="69" ht="15">
      <c r="E69" s="5"/>
    </row>
    <row r="70" ht="15">
      <c r="E70" s="5"/>
    </row>
    <row r="71" ht="15">
      <c r="E71" s="5"/>
    </row>
    <row r="72" ht="15">
      <c r="E72" s="5"/>
    </row>
    <row r="73" ht="15">
      <c r="E73" s="5"/>
    </row>
    <row r="74" ht="15">
      <c r="E74" s="5"/>
    </row>
    <row r="75" ht="15">
      <c r="E75" s="5"/>
    </row>
    <row r="76" ht="15">
      <c r="E76" s="5"/>
    </row>
    <row r="77" ht="15">
      <c r="E77" s="5"/>
    </row>
    <row r="78" ht="15">
      <c r="E78" s="5"/>
    </row>
    <row r="79" ht="15">
      <c r="E79" s="5"/>
    </row>
    <row r="80" ht="15">
      <c r="E80" s="5"/>
    </row>
    <row r="81" ht="15">
      <c r="E81" s="5"/>
    </row>
    <row r="82" ht="15">
      <c r="E82" s="5"/>
    </row>
    <row r="83" ht="15">
      <c r="E83" s="5"/>
    </row>
    <row r="84" ht="15">
      <c r="E84" s="5"/>
    </row>
    <row r="85" ht="15">
      <c r="E85" s="5"/>
    </row>
    <row r="86" ht="15">
      <c r="E86" s="5"/>
    </row>
    <row r="87" ht="15">
      <c r="E87" s="5"/>
    </row>
    <row r="88" ht="15">
      <c r="E88" s="5"/>
    </row>
    <row r="89" ht="15">
      <c r="E89" s="5"/>
    </row>
    <row r="90" ht="15">
      <c r="E90" s="5"/>
    </row>
    <row r="91" ht="15">
      <c r="E91" s="5"/>
    </row>
    <row r="92" ht="15">
      <c r="E92" s="5"/>
    </row>
    <row r="93" ht="15">
      <c r="E93" s="5"/>
    </row>
    <row r="94" ht="15">
      <c r="E94" s="5"/>
    </row>
    <row r="95" ht="15">
      <c r="E95" s="5"/>
    </row>
    <row r="96" ht="15">
      <c r="E96" s="5"/>
    </row>
    <row r="97" ht="15">
      <c r="E97" s="5"/>
    </row>
    <row r="98" ht="15">
      <c r="E98" s="5"/>
    </row>
    <row r="99" ht="15">
      <c r="E99" s="5"/>
    </row>
    <row r="100" ht="15">
      <c r="E100" s="5"/>
    </row>
    <row r="101" ht="15">
      <c r="E101" s="5"/>
    </row>
    <row r="102" ht="15">
      <c r="E102" s="5"/>
    </row>
    <row r="103" ht="15">
      <c r="E103" s="5"/>
    </row>
    <row r="104" ht="15">
      <c r="E104" s="5"/>
    </row>
    <row r="105" ht="15">
      <c r="E105" s="5"/>
    </row>
    <row r="106" ht="15">
      <c r="E106" s="5"/>
    </row>
    <row r="107" ht="15">
      <c r="E107" s="5"/>
    </row>
    <row r="108" ht="15">
      <c r="E108" s="5"/>
    </row>
    <row r="109" ht="15">
      <c r="E109" s="5"/>
    </row>
    <row r="110" ht="15">
      <c r="E110" s="5"/>
    </row>
    <row r="111" ht="15">
      <c r="E111" s="5"/>
    </row>
    <row r="112" ht="15">
      <c r="E112" s="5"/>
    </row>
    <row r="113" ht="15">
      <c r="E113" s="5"/>
    </row>
    <row r="114" ht="15">
      <c r="E114" s="5"/>
    </row>
    <row r="115" ht="15">
      <c r="E115" s="5"/>
    </row>
    <row r="116" ht="15">
      <c r="E116" s="5"/>
    </row>
    <row r="117" ht="15">
      <c r="E117" s="5"/>
    </row>
    <row r="118" ht="15">
      <c r="E118" s="5"/>
    </row>
    <row r="119" ht="15">
      <c r="E119" s="5"/>
    </row>
    <row r="120" ht="15">
      <c r="E120" s="5"/>
    </row>
    <row r="121" ht="15">
      <c r="E121" s="5"/>
    </row>
    <row r="122" ht="15">
      <c r="E122" s="5"/>
    </row>
    <row r="123" ht="15">
      <c r="E123" s="5"/>
    </row>
    <row r="124" ht="15">
      <c r="E124" s="5"/>
    </row>
    <row r="125" ht="15">
      <c r="E125" s="5"/>
    </row>
    <row r="126" ht="15">
      <c r="E126" s="5"/>
    </row>
    <row r="127" ht="15">
      <c r="E127" s="5"/>
    </row>
    <row r="128" ht="15">
      <c r="E128" s="5"/>
    </row>
    <row r="129" ht="15">
      <c r="E129" s="5"/>
    </row>
    <row r="130" ht="15">
      <c r="E130" s="5"/>
    </row>
    <row r="131" ht="15">
      <c r="E131" s="5"/>
    </row>
    <row r="132" ht="15">
      <c r="E132" s="5"/>
    </row>
    <row r="133" ht="15">
      <c r="E133" s="5"/>
    </row>
    <row r="134" ht="15">
      <c r="E134" s="5"/>
    </row>
    <row r="135" ht="15">
      <c r="E135" s="5"/>
    </row>
    <row r="136" ht="15">
      <c r="E136" s="5"/>
    </row>
  </sheetData>
  <sheetProtection/>
  <mergeCells count="9">
    <mergeCell ref="C50:D50"/>
    <mergeCell ref="A19:A20"/>
    <mergeCell ref="A1:K5"/>
    <mergeCell ref="E13:E14"/>
    <mergeCell ref="J13:J14"/>
    <mergeCell ref="B8:J8"/>
    <mergeCell ref="F13:F14"/>
    <mergeCell ref="G13:I13"/>
    <mergeCell ref="E11:J11"/>
  </mergeCells>
  <dataValidations count="1">
    <dataValidation type="list" allowBlank="1" showInputMessage="1" showErrorMessage="1" sqref="B7">
      <formula1>ITEM</formula1>
    </dataValidation>
  </dataValidations>
  <printOptions/>
  <pageMargins left="0.7" right="0.7" top="0.75" bottom="0.75" header="0.3" footer="0.3"/>
  <pageSetup horizontalDpi="600" verticalDpi="600" orientation="portrait" paperSize="9" r:id="rId5"/>
  <drawing r:id="rId4"/>
  <legacyDrawing r:id="rId3"/>
  <oleObjects>
    <oleObject progId="Equation.3" shapeId="28317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PageLayoutView="0" workbookViewId="0" topLeftCell="A1">
      <pane ySplit="15" topLeftCell="A22" activePane="bottomLeft" state="frozen"/>
      <selection pane="topLeft" activeCell="A1" sqref="A1"/>
      <selection pane="bottomLeft" activeCell="M49" sqref="M49"/>
    </sheetView>
  </sheetViews>
  <sheetFormatPr defaultColWidth="11.421875" defaultRowHeight="15"/>
  <cols>
    <col min="1" max="1" width="23.8515625" style="0" customWidth="1"/>
    <col min="2" max="2" width="13.421875" style="0" customWidth="1"/>
    <col min="3" max="3" width="12.140625" style="0" customWidth="1"/>
    <col min="4" max="4" width="5.421875" style="0" customWidth="1"/>
    <col min="5" max="5" width="9.00390625" style="0" customWidth="1"/>
    <col min="6" max="6" width="13.7109375" style="0" customWidth="1"/>
    <col min="7" max="7" width="13.57421875" style="0" customWidth="1"/>
    <col min="8" max="8" width="14.28125" style="0" customWidth="1"/>
    <col min="9" max="9" width="16.57421875" style="0" bestFit="1" customWidth="1"/>
    <col min="10" max="10" width="16.00390625" style="0" customWidth="1"/>
    <col min="12" max="12" width="13.421875" style="0" customWidth="1"/>
    <col min="13" max="13" width="13.00390625" style="0" customWidth="1"/>
  </cols>
  <sheetData>
    <row r="1" spans="1:13" ht="15" customHeight="1">
      <c r="A1" s="156" t="s">
        <v>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1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7" spans="1:2" ht="15" customHeight="1">
      <c r="A7" s="7" t="s">
        <v>14</v>
      </c>
      <c r="B7" s="15">
        <v>1</v>
      </c>
    </row>
    <row r="8" spans="1:10" ht="30.75" customHeight="1">
      <c r="A8" s="7" t="s">
        <v>7</v>
      </c>
      <c r="B8" s="134" t="str">
        <f>+VLOOKUP(B7,TABLA!$C$9:$E$15,2,0)</f>
        <v>Ganado de trabajo y reproducción; redes de pesca.</v>
      </c>
      <c r="C8" s="134"/>
      <c r="D8" s="134"/>
      <c r="E8" s="134"/>
      <c r="F8" s="134"/>
      <c r="G8" s="134"/>
      <c r="H8" s="134"/>
      <c r="I8" s="134"/>
      <c r="J8" s="29"/>
    </row>
    <row r="9" spans="1:2" s="28" customFormat="1" ht="15" customHeight="1">
      <c r="A9" s="8" t="s">
        <v>2</v>
      </c>
      <c r="B9" s="44">
        <v>39854</v>
      </c>
    </row>
    <row r="10" spans="1:4" s="28" customFormat="1" ht="16.5" customHeight="1">
      <c r="A10" s="12" t="s">
        <v>17</v>
      </c>
      <c r="B10" s="9">
        <f>+IF(DAY(B9)&lt;=14,B9-DAY(B9)+1,B9+DAY(_XLL.FIN.MES(B9,0))-DAY(B9)+1)</f>
        <v>39845</v>
      </c>
      <c r="D10" s="14"/>
    </row>
    <row r="11" spans="5:13" ht="15.75">
      <c r="E11" s="144" t="s">
        <v>26</v>
      </c>
      <c r="F11" s="145"/>
      <c r="G11" s="145"/>
      <c r="H11" s="145"/>
      <c r="I11" s="145"/>
      <c r="J11" s="145"/>
      <c r="K11" s="145"/>
      <c r="L11" s="145"/>
      <c r="M11" s="146"/>
    </row>
    <row r="12" spans="1:2" ht="15">
      <c r="A12" s="8" t="s">
        <v>30</v>
      </c>
      <c r="B12" s="45">
        <v>580000</v>
      </c>
    </row>
    <row r="13" spans="1:13" ht="15.75" customHeight="1">
      <c r="A13" s="8" t="s">
        <v>45</v>
      </c>
      <c r="B13" s="45">
        <v>10000</v>
      </c>
      <c r="E13" s="130" t="s">
        <v>25</v>
      </c>
      <c r="F13" s="147" t="s">
        <v>29</v>
      </c>
      <c r="G13" s="147" t="s">
        <v>35</v>
      </c>
      <c r="H13" s="147" t="s">
        <v>36</v>
      </c>
      <c r="I13" s="147" t="s">
        <v>37</v>
      </c>
      <c r="J13" s="149" t="s">
        <v>38</v>
      </c>
      <c r="K13" s="138" t="s">
        <v>28</v>
      </c>
      <c r="L13" s="143"/>
      <c r="M13" s="151" t="s">
        <v>39</v>
      </c>
    </row>
    <row r="14" spans="5:13" ht="15" customHeight="1">
      <c r="E14" s="131"/>
      <c r="F14" s="148"/>
      <c r="G14" s="148"/>
      <c r="H14" s="148"/>
      <c r="I14" s="148"/>
      <c r="J14" s="150"/>
      <c r="K14" s="32" t="s">
        <v>18</v>
      </c>
      <c r="L14" s="33" t="s">
        <v>25</v>
      </c>
      <c r="M14" s="152"/>
    </row>
    <row r="15" spans="1:13" ht="15">
      <c r="A15" s="31" t="s">
        <v>31</v>
      </c>
      <c r="B15" s="46">
        <f>+SUM(F15:F50)</f>
        <v>1425200</v>
      </c>
      <c r="C15" s="157"/>
      <c r="D15" s="157"/>
      <c r="E15" s="101" t="str">
        <f>IF(MONTH($B$10)=1,0,CONCATENATE(12-MONTH(B10)+1," Meses"))</f>
        <v>11 Meses</v>
      </c>
      <c r="F15" s="94">
        <v>25200</v>
      </c>
      <c r="G15" s="120">
        <f>IF(E15&lt;&gt;0,($B$12-$B$13)/$B$15,0)</f>
        <v>0.3999438675273646</v>
      </c>
      <c r="H15" s="103">
        <f>IF(E15&lt;&gt;0,F15*G15,0)</f>
        <v>10078.585461689589</v>
      </c>
      <c r="I15" s="103">
        <f>+H15</f>
        <v>10078.585461689589</v>
      </c>
      <c r="J15" s="103">
        <f>$B$12-I15</f>
        <v>569921.4145383104</v>
      </c>
      <c r="K15" s="104">
        <f>+B19/12*(13-MONTH($B$10))</f>
        <v>0.22916666666666666</v>
      </c>
      <c r="L15" s="103">
        <f>IF(E15&lt;&gt;0,($B$12-$B$13)*K15,0)</f>
        <v>130625</v>
      </c>
      <c r="M15" s="47">
        <f>IF(E15&lt;&gt;"",H15-L15,0)</f>
        <v>-120546.4145383104</v>
      </c>
    </row>
    <row r="16" spans="1:13" ht="15">
      <c r="A16" s="8" t="s">
        <v>32</v>
      </c>
      <c r="B16" s="1">
        <f>+B20</f>
        <v>4</v>
      </c>
      <c r="F16" s="95"/>
      <c r="I16" s="49"/>
      <c r="J16" s="49"/>
      <c r="M16" s="68"/>
    </row>
    <row r="17" spans="5:13" ht="15">
      <c r="E17" s="64">
        <f>IF(E16&lt;$B$16-1,ROW(E17)-ROW($E$16),"")</f>
        <v>1</v>
      </c>
      <c r="F17" s="94">
        <v>390000</v>
      </c>
      <c r="G17" s="67">
        <f>IF(E17&lt;&gt;"",($B$12-$B$13)/$B$15,0)</f>
        <v>0.3999438675273646</v>
      </c>
      <c r="H17" s="65">
        <f>IF(E17&lt;&gt;"",F17*G17,0)</f>
        <v>155978.1083356722</v>
      </c>
      <c r="I17" s="65">
        <f>IF(E17&lt;&gt;"",SUM($H$15:H17),0)</f>
        <v>166056.6937973618</v>
      </c>
      <c r="J17" s="65">
        <f>IF(E17&lt;&gt;"",($B$12-$B$13)-I17,"")</f>
        <v>403943.3062026382</v>
      </c>
      <c r="K17" s="66">
        <f>IF(E17="","",$B$19)</f>
        <v>0.25</v>
      </c>
      <c r="L17" s="65">
        <f>IF(E17&lt;&gt;"",($B$12-$B$13)*K17,"")</f>
        <v>142500</v>
      </c>
      <c r="M17" s="47">
        <f>IF(E17&lt;&gt;"",H17-L17,0)</f>
        <v>13478.108335672208</v>
      </c>
    </row>
    <row r="18" spans="1:13" ht="15">
      <c r="A18" s="153" t="s">
        <v>34</v>
      </c>
      <c r="B18" s="154"/>
      <c r="C18" s="155"/>
      <c r="E18" s="64">
        <f aca="true" t="shared" si="0" ref="E18:E48">IF(E17&lt;$B$16-1,ROW(E18)-ROW($E$16),"")</f>
        <v>2</v>
      </c>
      <c r="F18" s="94">
        <v>360000</v>
      </c>
      <c r="G18" s="67">
        <f>IF(E18&lt;&gt;"",($B$12-$B$13)/$B$15,0)</f>
        <v>0.3999438675273646</v>
      </c>
      <c r="H18" s="65">
        <f aca="true" t="shared" si="1" ref="H18:H48">IF(E18&lt;&gt;"",F18*G18,0)</f>
        <v>143979.79230985127</v>
      </c>
      <c r="I18" s="65">
        <f>IF(E18&lt;&gt;"",SUM($H$15:H18),0)</f>
        <v>310036.4861072131</v>
      </c>
      <c r="J18" s="65">
        <f aca="true" t="shared" si="2" ref="J18:J48">IF(E18&lt;&gt;"",($B$12-$B$13)-I18,"")</f>
        <v>259963.51389278693</v>
      </c>
      <c r="K18" s="66">
        <f aca="true" t="shared" si="3" ref="K18:K48">IF(E18="","",$B$19)</f>
        <v>0.25</v>
      </c>
      <c r="L18" s="65">
        <f aca="true" t="shared" si="4" ref="L18:L48">IF(E18&lt;&gt;"",($B$12-$B$13)*K18,"")</f>
        <v>142500</v>
      </c>
      <c r="M18" s="47">
        <f aca="true" t="shared" si="5" ref="M18:M48">IF(E18&lt;&gt;"",H18-L18,0)</f>
        <v>1479.7923098512692</v>
      </c>
    </row>
    <row r="19" spans="1:13" ht="15">
      <c r="A19" s="8" t="s">
        <v>0</v>
      </c>
      <c r="B19" s="10">
        <f>+VLOOKUP(B7,TABLA!$C$9:$E$15,3,0)</f>
        <v>0.25</v>
      </c>
      <c r="C19" s="11" t="s">
        <v>16</v>
      </c>
      <c r="E19" s="64">
        <f>IF(E18&lt;$B$16-1,ROW(E19)-ROW($E$16),"")</f>
        <v>3</v>
      </c>
      <c r="F19" s="94">
        <v>400000</v>
      </c>
      <c r="G19" s="67">
        <f>IF(E19&lt;&gt;"",($B$12-$B$13)/$B$15,0)</f>
        <v>0.3999438675273646</v>
      </c>
      <c r="H19" s="65">
        <f t="shared" si="1"/>
        <v>159977.54701094585</v>
      </c>
      <c r="I19" s="65">
        <f>IF(E19&lt;&gt;"",SUM($H$15:H19),0)</f>
        <v>470014.0331181589</v>
      </c>
      <c r="J19" s="65">
        <f t="shared" si="2"/>
        <v>99985.96688184107</v>
      </c>
      <c r="K19" s="66">
        <f t="shared" si="3"/>
        <v>0.25</v>
      </c>
      <c r="L19" s="65">
        <f t="shared" si="4"/>
        <v>142500</v>
      </c>
      <c r="M19" s="47">
        <f t="shared" si="5"/>
        <v>17477.547010945855</v>
      </c>
    </row>
    <row r="20" spans="1:13" ht="15">
      <c r="A20" s="8" t="s">
        <v>33</v>
      </c>
      <c r="B20" s="41">
        <f>INT(1/B19)</f>
        <v>4</v>
      </c>
      <c r="C20" s="41" t="s">
        <v>15</v>
      </c>
      <c r="E20" s="64">
        <f>IF(E19&lt;$B$16-1,ROW(E20)-ROW($E$16),"")</f>
      </c>
      <c r="F20" s="94"/>
      <c r="G20" s="67">
        <f aca="true" t="shared" si="6" ref="G20:G47">IF(E20&lt;&gt;"",($B$12-$B$13)/$B$15,0)</f>
        <v>0</v>
      </c>
      <c r="H20" s="65">
        <f t="shared" si="1"/>
        <v>0</v>
      </c>
      <c r="I20" s="65">
        <f>IF(E20&lt;&gt;"",SUM($H$15:H20),0)</f>
        <v>0</v>
      </c>
      <c r="J20" s="65">
        <f t="shared" si="2"/>
      </c>
      <c r="K20" s="66">
        <f t="shared" si="3"/>
      </c>
      <c r="L20" s="65">
        <f t="shared" si="4"/>
      </c>
      <c r="M20" s="47">
        <f t="shared" si="5"/>
        <v>0</v>
      </c>
    </row>
    <row r="21" spans="5:13" ht="15">
      <c r="E21" s="64">
        <f t="shared" si="0"/>
      </c>
      <c r="F21" s="94"/>
      <c r="G21" s="67">
        <f t="shared" si="6"/>
        <v>0</v>
      </c>
      <c r="H21" s="65">
        <f t="shared" si="1"/>
        <v>0</v>
      </c>
      <c r="I21" s="65">
        <f>IF(E21&lt;&gt;"",SUM($H$15:H21),0)</f>
        <v>0</v>
      </c>
      <c r="J21" s="65">
        <f t="shared" si="2"/>
      </c>
      <c r="K21" s="66">
        <f t="shared" si="3"/>
      </c>
      <c r="L21" s="65">
        <f t="shared" si="4"/>
      </c>
      <c r="M21" s="47">
        <f t="shared" si="5"/>
        <v>0</v>
      </c>
    </row>
    <row r="22" spans="1:13" ht="15">
      <c r="A22" s="13"/>
      <c r="E22" s="64">
        <f>IF(E21&lt;$B$16-1,ROW(E22)-ROW($E$16),"")</f>
      </c>
      <c r="F22" s="96"/>
      <c r="G22" s="67">
        <f t="shared" si="6"/>
        <v>0</v>
      </c>
      <c r="H22" s="65">
        <f t="shared" si="1"/>
        <v>0</v>
      </c>
      <c r="I22" s="65">
        <f>IF(E22&lt;&gt;"",SUM($H$15:H22),0)</f>
        <v>0</v>
      </c>
      <c r="J22" s="65">
        <f t="shared" si="2"/>
      </c>
      <c r="K22" s="66">
        <f t="shared" si="3"/>
      </c>
      <c r="L22" s="65">
        <f t="shared" si="4"/>
      </c>
      <c r="M22" s="47">
        <f t="shared" si="5"/>
        <v>0</v>
      </c>
    </row>
    <row r="23" spans="1:13" ht="15">
      <c r="A23" s="100" t="s">
        <v>64</v>
      </c>
      <c r="E23" s="64">
        <f t="shared" si="0"/>
      </c>
      <c r="F23" s="96"/>
      <c r="G23" s="67">
        <f t="shared" si="6"/>
        <v>0</v>
      </c>
      <c r="H23" s="65">
        <f t="shared" si="1"/>
        <v>0</v>
      </c>
      <c r="I23" s="65">
        <f>IF(E23&lt;&gt;"",SUM($H$15:H23),0)</f>
        <v>0</v>
      </c>
      <c r="J23" s="65">
        <f t="shared" si="2"/>
      </c>
      <c r="K23" s="66">
        <f t="shared" si="3"/>
      </c>
      <c r="L23" s="65">
        <f t="shared" si="4"/>
      </c>
      <c r="M23" s="47">
        <f t="shared" si="5"/>
        <v>0</v>
      </c>
    </row>
    <row r="24" spans="1:13" ht="15">
      <c r="A24" s="100" t="s">
        <v>65</v>
      </c>
      <c r="E24" s="64">
        <f t="shared" si="0"/>
      </c>
      <c r="F24" s="96"/>
      <c r="G24" s="67">
        <f t="shared" si="6"/>
        <v>0</v>
      </c>
      <c r="H24" s="65">
        <f t="shared" si="1"/>
        <v>0</v>
      </c>
      <c r="I24" s="65">
        <f>IF(E24&lt;&gt;"",SUM($H$15:H24),0)</f>
        <v>0</v>
      </c>
      <c r="J24" s="65">
        <f t="shared" si="2"/>
      </c>
      <c r="K24" s="66">
        <f t="shared" si="3"/>
      </c>
      <c r="L24" s="65">
        <f t="shared" si="4"/>
      </c>
      <c r="M24" s="47">
        <f t="shared" si="5"/>
        <v>0</v>
      </c>
    </row>
    <row r="25" spans="1:13" ht="15">
      <c r="A25" s="13"/>
      <c r="E25" s="64">
        <f t="shared" si="0"/>
      </c>
      <c r="F25" s="96"/>
      <c r="G25" s="67">
        <f t="shared" si="6"/>
        <v>0</v>
      </c>
      <c r="H25" s="65">
        <f t="shared" si="1"/>
        <v>0</v>
      </c>
      <c r="I25" s="65">
        <f>IF(E25&lt;&gt;"",SUM($H$15:H25),0)</f>
        <v>0</v>
      </c>
      <c r="J25" s="65">
        <f t="shared" si="2"/>
      </c>
      <c r="K25" s="66">
        <f t="shared" si="3"/>
      </c>
      <c r="L25" s="65">
        <f t="shared" si="4"/>
      </c>
      <c r="M25" s="47">
        <f t="shared" si="5"/>
        <v>0</v>
      </c>
    </row>
    <row r="26" spans="5:13" ht="15">
      <c r="E26" s="64">
        <f t="shared" si="0"/>
      </c>
      <c r="F26" s="96"/>
      <c r="G26" s="67">
        <f t="shared" si="6"/>
        <v>0</v>
      </c>
      <c r="H26" s="65">
        <f t="shared" si="1"/>
        <v>0</v>
      </c>
      <c r="I26" s="65">
        <f>IF(E26&lt;&gt;"",SUM($H$15:H26),0)</f>
        <v>0</v>
      </c>
      <c r="J26" s="65">
        <f t="shared" si="2"/>
      </c>
      <c r="K26" s="66">
        <f t="shared" si="3"/>
      </c>
      <c r="L26" s="65">
        <f t="shared" si="4"/>
      </c>
      <c r="M26" s="47">
        <f t="shared" si="5"/>
        <v>0</v>
      </c>
    </row>
    <row r="27" spans="1:13" ht="15">
      <c r="A27" s="99" t="s">
        <v>62</v>
      </c>
      <c r="E27" s="64">
        <f t="shared" si="0"/>
      </c>
      <c r="F27" s="97"/>
      <c r="G27" s="67">
        <f t="shared" si="6"/>
        <v>0</v>
      </c>
      <c r="H27" s="65">
        <f t="shared" si="1"/>
        <v>0</v>
      </c>
      <c r="I27" s="65">
        <f>IF(E27&lt;&gt;"",SUM($H$15:H27),0)</f>
        <v>0</v>
      </c>
      <c r="J27" s="65">
        <f t="shared" si="2"/>
      </c>
      <c r="K27" s="66">
        <f t="shared" si="3"/>
      </c>
      <c r="L27" s="65">
        <f t="shared" si="4"/>
      </c>
      <c r="M27" s="47">
        <f t="shared" si="5"/>
        <v>0</v>
      </c>
    </row>
    <row r="28" spans="1:13" ht="15">
      <c r="A28" s="99" t="s">
        <v>63</v>
      </c>
      <c r="E28" s="64">
        <f t="shared" si="0"/>
      </c>
      <c r="F28" s="97"/>
      <c r="G28" s="67">
        <f t="shared" si="6"/>
        <v>0</v>
      </c>
      <c r="H28" s="65">
        <f t="shared" si="1"/>
        <v>0</v>
      </c>
      <c r="I28" s="65">
        <f>IF(E28&lt;&gt;"",SUM($H$15:H28),0)</f>
        <v>0</v>
      </c>
      <c r="J28" s="65">
        <f t="shared" si="2"/>
      </c>
      <c r="K28" s="66">
        <f t="shared" si="3"/>
      </c>
      <c r="L28" s="65">
        <f t="shared" si="4"/>
      </c>
      <c r="M28" s="47">
        <f t="shared" si="5"/>
        <v>0</v>
      </c>
    </row>
    <row r="29" spans="5:13" ht="15">
      <c r="E29" s="64">
        <f t="shared" si="0"/>
      </c>
      <c r="F29" s="97"/>
      <c r="G29" s="67">
        <f t="shared" si="6"/>
        <v>0</v>
      </c>
      <c r="H29" s="65">
        <f t="shared" si="1"/>
        <v>0</v>
      </c>
      <c r="I29" s="65">
        <f>IF(E29&lt;&gt;"",SUM($H$15:H29),0)</f>
        <v>0</v>
      </c>
      <c r="J29" s="65">
        <f t="shared" si="2"/>
      </c>
      <c r="K29" s="66">
        <f t="shared" si="3"/>
      </c>
      <c r="L29" s="65">
        <f t="shared" si="4"/>
      </c>
      <c r="M29" s="47">
        <f t="shared" si="5"/>
        <v>0</v>
      </c>
    </row>
    <row r="30" spans="1:13" ht="15">
      <c r="A30" s="100"/>
      <c r="E30" s="64">
        <f t="shared" si="0"/>
      </c>
      <c r="F30" s="97"/>
      <c r="G30" s="67">
        <f t="shared" si="6"/>
        <v>0</v>
      </c>
      <c r="H30" s="65">
        <f t="shared" si="1"/>
        <v>0</v>
      </c>
      <c r="I30" s="65">
        <f>IF(E30&lt;&gt;"",SUM($H$15:H30),0)</f>
        <v>0</v>
      </c>
      <c r="J30" s="65">
        <f t="shared" si="2"/>
      </c>
      <c r="K30" s="66">
        <f t="shared" si="3"/>
      </c>
      <c r="L30" s="65">
        <f t="shared" si="4"/>
      </c>
      <c r="M30" s="47">
        <f t="shared" si="5"/>
        <v>0</v>
      </c>
    </row>
    <row r="31" spans="1:13" ht="15">
      <c r="A31" s="100"/>
      <c r="E31" s="64">
        <f t="shared" si="0"/>
      </c>
      <c r="F31" s="97"/>
      <c r="G31" s="67">
        <f t="shared" si="6"/>
        <v>0</v>
      </c>
      <c r="H31" s="65">
        <f t="shared" si="1"/>
        <v>0</v>
      </c>
      <c r="I31" s="65">
        <f>IF(E31&lt;&gt;"",SUM($H$15:H31),0)</f>
        <v>0</v>
      </c>
      <c r="J31" s="65">
        <f t="shared" si="2"/>
      </c>
      <c r="K31" s="66">
        <f t="shared" si="3"/>
      </c>
      <c r="L31" s="65">
        <f t="shared" si="4"/>
      </c>
      <c r="M31" s="47">
        <f t="shared" si="5"/>
        <v>0</v>
      </c>
    </row>
    <row r="32" spans="5:13" ht="15">
      <c r="E32" s="64">
        <f t="shared" si="0"/>
      </c>
      <c r="F32" s="97"/>
      <c r="G32" s="67">
        <f t="shared" si="6"/>
        <v>0</v>
      </c>
      <c r="H32" s="65">
        <f t="shared" si="1"/>
        <v>0</v>
      </c>
      <c r="I32" s="65">
        <f>IF(E32&lt;&gt;"",SUM($H$15:H32),0)</f>
        <v>0</v>
      </c>
      <c r="J32" s="65">
        <f t="shared" si="2"/>
      </c>
      <c r="K32" s="66">
        <f t="shared" si="3"/>
      </c>
      <c r="L32" s="65">
        <f t="shared" si="4"/>
      </c>
      <c r="M32" s="47">
        <f t="shared" si="5"/>
        <v>0</v>
      </c>
    </row>
    <row r="33" spans="5:13" ht="15">
      <c r="E33" s="64">
        <f t="shared" si="0"/>
      </c>
      <c r="F33" s="97"/>
      <c r="G33" s="67">
        <f t="shared" si="6"/>
        <v>0</v>
      </c>
      <c r="H33" s="65">
        <f t="shared" si="1"/>
        <v>0</v>
      </c>
      <c r="I33" s="65">
        <f>IF(E33&lt;&gt;"",SUM($H$15:H33),0)</f>
        <v>0</v>
      </c>
      <c r="J33" s="65">
        <f t="shared" si="2"/>
      </c>
      <c r="K33" s="66">
        <f t="shared" si="3"/>
      </c>
      <c r="L33" s="65">
        <f t="shared" si="4"/>
      </c>
      <c r="M33" s="47">
        <f t="shared" si="5"/>
        <v>0</v>
      </c>
    </row>
    <row r="34" spans="5:13" ht="15">
      <c r="E34" s="64">
        <f t="shared" si="0"/>
      </c>
      <c r="F34" s="97"/>
      <c r="G34" s="67">
        <f t="shared" si="6"/>
        <v>0</v>
      </c>
      <c r="H34" s="65">
        <f t="shared" si="1"/>
        <v>0</v>
      </c>
      <c r="I34" s="65">
        <f>IF(E34&lt;&gt;"",SUM($H$15:H34),0)</f>
        <v>0</v>
      </c>
      <c r="J34" s="65">
        <f t="shared" si="2"/>
      </c>
      <c r="K34" s="66">
        <f t="shared" si="3"/>
      </c>
      <c r="L34" s="65">
        <f t="shared" si="4"/>
      </c>
      <c r="M34" s="47">
        <f t="shared" si="5"/>
        <v>0</v>
      </c>
    </row>
    <row r="35" spans="5:13" ht="15">
      <c r="E35" s="64">
        <f t="shared" si="0"/>
      </c>
      <c r="F35" s="97"/>
      <c r="G35" s="67">
        <f t="shared" si="6"/>
        <v>0</v>
      </c>
      <c r="H35" s="65">
        <f t="shared" si="1"/>
        <v>0</v>
      </c>
      <c r="I35" s="65">
        <f>IF(E35&lt;&gt;"",SUM($H$15:H35),0)</f>
        <v>0</v>
      </c>
      <c r="J35" s="65">
        <f t="shared" si="2"/>
      </c>
      <c r="K35" s="66">
        <f t="shared" si="3"/>
      </c>
      <c r="L35" s="65">
        <f t="shared" si="4"/>
      </c>
      <c r="M35" s="47">
        <f t="shared" si="5"/>
        <v>0</v>
      </c>
    </row>
    <row r="36" spans="5:13" ht="15">
      <c r="E36" s="64">
        <f t="shared" si="0"/>
      </c>
      <c r="F36" s="97"/>
      <c r="G36" s="67">
        <f t="shared" si="6"/>
        <v>0</v>
      </c>
      <c r="H36" s="65">
        <f t="shared" si="1"/>
        <v>0</v>
      </c>
      <c r="I36" s="65">
        <f>IF(E36&lt;&gt;"",SUM($H$15:H36),0)</f>
        <v>0</v>
      </c>
      <c r="J36" s="65">
        <f t="shared" si="2"/>
      </c>
      <c r="K36" s="66">
        <f t="shared" si="3"/>
      </c>
      <c r="L36" s="65">
        <f t="shared" si="4"/>
      </c>
      <c r="M36" s="47">
        <f t="shared" si="5"/>
        <v>0</v>
      </c>
    </row>
    <row r="37" spans="5:13" ht="15">
      <c r="E37" s="64">
        <f t="shared" si="0"/>
      </c>
      <c r="F37" s="97"/>
      <c r="G37" s="67">
        <f t="shared" si="6"/>
        <v>0</v>
      </c>
      <c r="H37" s="65">
        <f t="shared" si="1"/>
        <v>0</v>
      </c>
      <c r="I37" s="65">
        <f>IF(E37&lt;&gt;"",SUM($H$15:H37),0)</f>
        <v>0</v>
      </c>
      <c r="J37" s="65">
        <f t="shared" si="2"/>
      </c>
      <c r="K37" s="66">
        <f t="shared" si="3"/>
      </c>
      <c r="L37" s="65">
        <f t="shared" si="4"/>
      </c>
      <c r="M37" s="47">
        <f t="shared" si="5"/>
        <v>0</v>
      </c>
    </row>
    <row r="38" spans="5:13" ht="15">
      <c r="E38" s="64">
        <f t="shared" si="0"/>
      </c>
      <c r="F38" s="97"/>
      <c r="G38" s="67">
        <f t="shared" si="6"/>
        <v>0</v>
      </c>
      <c r="H38" s="65">
        <f t="shared" si="1"/>
        <v>0</v>
      </c>
      <c r="I38" s="65">
        <f>IF(E38&lt;&gt;"",SUM($H$15:H38),0)</f>
        <v>0</v>
      </c>
      <c r="J38" s="65">
        <f t="shared" si="2"/>
      </c>
      <c r="K38" s="66">
        <f t="shared" si="3"/>
      </c>
      <c r="L38" s="65">
        <f t="shared" si="4"/>
      </c>
      <c r="M38" s="47">
        <f t="shared" si="5"/>
        <v>0</v>
      </c>
    </row>
    <row r="39" spans="5:13" ht="15">
      <c r="E39" s="64">
        <f t="shared" si="0"/>
      </c>
      <c r="F39" s="97"/>
      <c r="G39" s="67">
        <f t="shared" si="6"/>
        <v>0</v>
      </c>
      <c r="H39" s="65">
        <f t="shared" si="1"/>
        <v>0</v>
      </c>
      <c r="I39" s="65">
        <f>IF(E39&lt;&gt;"",SUM($H$15:H39),0)</f>
        <v>0</v>
      </c>
      <c r="J39" s="65">
        <f t="shared" si="2"/>
      </c>
      <c r="K39" s="66">
        <f t="shared" si="3"/>
      </c>
      <c r="L39" s="65">
        <f t="shared" si="4"/>
      </c>
      <c r="M39" s="47">
        <f t="shared" si="5"/>
        <v>0</v>
      </c>
    </row>
    <row r="40" spans="5:13" ht="15">
      <c r="E40" s="64">
        <f t="shared" si="0"/>
      </c>
      <c r="F40" s="97"/>
      <c r="G40" s="67">
        <f t="shared" si="6"/>
        <v>0</v>
      </c>
      <c r="H40" s="65">
        <f t="shared" si="1"/>
        <v>0</v>
      </c>
      <c r="I40" s="65">
        <f>IF(E40&lt;&gt;"",SUM($H$15:H40),0)</f>
        <v>0</v>
      </c>
      <c r="J40" s="65">
        <f t="shared" si="2"/>
      </c>
      <c r="K40" s="66">
        <f t="shared" si="3"/>
      </c>
      <c r="L40" s="65">
        <f t="shared" si="4"/>
      </c>
      <c r="M40" s="47">
        <f t="shared" si="5"/>
        <v>0</v>
      </c>
    </row>
    <row r="41" spans="5:13" ht="15">
      <c r="E41" s="64">
        <f t="shared" si="0"/>
      </c>
      <c r="F41" s="97"/>
      <c r="G41" s="67">
        <f t="shared" si="6"/>
        <v>0</v>
      </c>
      <c r="H41" s="65">
        <f t="shared" si="1"/>
        <v>0</v>
      </c>
      <c r="I41" s="65">
        <f>IF(E41&lt;&gt;"",SUM($H$15:H41),0)</f>
        <v>0</v>
      </c>
      <c r="J41" s="65">
        <f t="shared" si="2"/>
      </c>
      <c r="K41" s="66">
        <f t="shared" si="3"/>
      </c>
      <c r="L41" s="65">
        <f t="shared" si="4"/>
      </c>
      <c r="M41" s="47">
        <f t="shared" si="5"/>
        <v>0</v>
      </c>
    </row>
    <row r="42" spans="5:13" ht="15">
      <c r="E42" s="64">
        <f t="shared" si="0"/>
      </c>
      <c r="F42" s="98"/>
      <c r="G42" s="67">
        <f t="shared" si="6"/>
        <v>0</v>
      </c>
      <c r="H42" s="65">
        <f t="shared" si="1"/>
        <v>0</v>
      </c>
      <c r="I42" s="65">
        <f>IF(E42&lt;&gt;"",SUM($H$15:H42),0)</f>
        <v>0</v>
      </c>
      <c r="J42" s="65">
        <f t="shared" si="2"/>
      </c>
      <c r="K42" s="66">
        <f t="shared" si="3"/>
      </c>
      <c r="L42" s="65">
        <f t="shared" si="4"/>
      </c>
      <c r="M42" s="47">
        <f t="shared" si="5"/>
        <v>0</v>
      </c>
    </row>
    <row r="43" spans="5:13" ht="15">
      <c r="E43" s="64">
        <f t="shared" si="0"/>
      </c>
      <c r="F43" s="98"/>
      <c r="G43" s="67">
        <f t="shared" si="6"/>
        <v>0</v>
      </c>
      <c r="H43" s="65">
        <f t="shared" si="1"/>
        <v>0</v>
      </c>
      <c r="I43" s="65">
        <f>IF(E43&lt;&gt;"",SUM($H$15:H43),0)</f>
        <v>0</v>
      </c>
      <c r="J43" s="65">
        <f t="shared" si="2"/>
      </c>
      <c r="K43" s="66">
        <f t="shared" si="3"/>
      </c>
      <c r="L43" s="65">
        <f t="shared" si="4"/>
      </c>
      <c r="M43" s="47">
        <f t="shared" si="5"/>
        <v>0</v>
      </c>
    </row>
    <row r="44" spans="5:13" ht="15">
      <c r="E44" s="64">
        <f t="shared" si="0"/>
      </c>
      <c r="F44" s="98"/>
      <c r="G44" s="67">
        <f t="shared" si="6"/>
        <v>0</v>
      </c>
      <c r="H44" s="65">
        <f t="shared" si="1"/>
        <v>0</v>
      </c>
      <c r="I44" s="65">
        <f>IF(E44&lt;&gt;"",SUM($H$15:H44),0)</f>
        <v>0</v>
      </c>
      <c r="J44" s="65">
        <f t="shared" si="2"/>
      </c>
      <c r="K44" s="66">
        <f t="shared" si="3"/>
      </c>
      <c r="L44" s="65">
        <f t="shared" si="4"/>
      </c>
      <c r="M44" s="47">
        <f t="shared" si="5"/>
        <v>0</v>
      </c>
    </row>
    <row r="45" spans="5:13" ht="15">
      <c r="E45" s="64">
        <f t="shared" si="0"/>
      </c>
      <c r="F45" s="98"/>
      <c r="G45" s="67">
        <f t="shared" si="6"/>
        <v>0</v>
      </c>
      <c r="H45" s="65">
        <f t="shared" si="1"/>
        <v>0</v>
      </c>
      <c r="I45" s="65">
        <f>IF(E45&lt;&gt;"",SUM($H$15:H45),0)</f>
        <v>0</v>
      </c>
      <c r="J45" s="65">
        <f t="shared" si="2"/>
      </c>
      <c r="K45" s="66">
        <f t="shared" si="3"/>
      </c>
      <c r="L45" s="65">
        <f t="shared" si="4"/>
      </c>
      <c r="M45" s="47">
        <f t="shared" si="5"/>
        <v>0</v>
      </c>
    </row>
    <row r="46" spans="5:13" ht="15">
      <c r="E46" s="64">
        <f t="shared" si="0"/>
      </c>
      <c r="F46" s="98"/>
      <c r="G46" s="67">
        <f t="shared" si="6"/>
        <v>0</v>
      </c>
      <c r="H46" s="65">
        <f t="shared" si="1"/>
        <v>0</v>
      </c>
      <c r="I46" s="65">
        <f>IF(E46&lt;&gt;"",SUM($H$15:H46),0)</f>
        <v>0</v>
      </c>
      <c r="J46" s="65">
        <f t="shared" si="2"/>
      </c>
      <c r="K46" s="66">
        <f t="shared" si="3"/>
      </c>
      <c r="L46" s="65">
        <f t="shared" si="4"/>
      </c>
      <c r="M46" s="47">
        <f t="shared" si="5"/>
        <v>0</v>
      </c>
    </row>
    <row r="47" spans="5:13" ht="15">
      <c r="E47" s="64">
        <f t="shared" si="0"/>
      </c>
      <c r="F47" s="98"/>
      <c r="G47" s="67">
        <f t="shared" si="6"/>
        <v>0</v>
      </c>
      <c r="H47" s="65">
        <f t="shared" si="1"/>
        <v>0</v>
      </c>
      <c r="I47" s="65">
        <f>IF(E47&lt;&gt;"",SUM($H$15:H47),0)</f>
        <v>0</v>
      </c>
      <c r="J47" s="65">
        <f t="shared" si="2"/>
      </c>
      <c r="K47" s="66">
        <f t="shared" si="3"/>
      </c>
      <c r="L47" s="65">
        <f t="shared" si="4"/>
      </c>
      <c r="M47" s="47">
        <f t="shared" si="5"/>
        <v>0</v>
      </c>
    </row>
    <row r="48" spans="5:13" ht="15">
      <c r="E48" s="64">
        <f t="shared" si="0"/>
      </c>
      <c r="F48" s="98"/>
      <c r="G48" s="67">
        <f>IF(E48&lt;&gt;"",($B$12-$B$13)/$B$15,0)</f>
        <v>0</v>
      </c>
      <c r="H48" s="65">
        <f t="shared" si="1"/>
        <v>0</v>
      </c>
      <c r="I48" s="65">
        <f>IF(E48&lt;&gt;"",SUM($H$15:H48),0)</f>
        <v>0</v>
      </c>
      <c r="J48" s="65">
        <f t="shared" si="2"/>
      </c>
      <c r="K48" s="66">
        <f t="shared" si="3"/>
      </c>
      <c r="L48" s="65">
        <f t="shared" si="4"/>
      </c>
      <c r="M48" s="47">
        <f t="shared" si="5"/>
        <v>0</v>
      </c>
    </row>
    <row r="49" spans="6:13" ht="15">
      <c r="F49" s="95"/>
      <c r="M49" s="86"/>
    </row>
    <row r="50" spans="3:13" ht="15">
      <c r="C50" s="127" t="s">
        <v>47</v>
      </c>
      <c r="D50" s="127"/>
      <c r="E50" s="93" t="str">
        <f>IF(E15&lt;&gt;0,CONCATENATE(MONTH(B10)-1," Meses"),$B$16)</f>
        <v>1 Meses</v>
      </c>
      <c r="F50" s="94">
        <v>250000</v>
      </c>
      <c r="G50" s="120">
        <f>($B$12-$B$13)/$B$15</f>
        <v>0.3999438675273646</v>
      </c>
      <c r="H50" s="103">
        <f>+F50*G50</f>
        <v>99985.96688184114</v>
      </c>
      <c r="I50" s="103">
        <f>+SUM(H15:H50)</f>
        <v>570000.0000000001</v>
      </c>
      <c r="J50" s="103">
        <f>+$B$12-I50</f>
        <v>9999.999999999884</v>
      </c>
      <c r="K50" s="104">
        <f>+$B$19-K15</f>
        <v>0.020833333333333343</v>
      </c>
      <c r="L50" s="103">
        <f>($B$12-$B$13)*K50</f>
        <v>11875.000000000005</v>
      </c>
      <c r="M50" s="47">
        <f>+H50-L50</f>
        <v>88110.96688184114</v>
      </c>
    </row>
  </sheetData>
  <sheetProtection/>
  <mergeCells count="14">
    <mergeCell ref="A18:C18"/>
    <mergeCell ref="A1:M5"/>
    <mergeCell ref="C50:D50"/>
    <mergeCell ref="C15:D15"/>
    <mergeCell ref="B8:I8"/>
    <mergeCell ref="E13:E14"/>
    <mergeCell ref="F13:F14"/>
    <mergeCell ref="K13:L13"/>
    <mergeCell ref="E11:M11"/>
    <mergeCell ref="G13:G14"/>
    <mergeCell ref="H13:H14"/>
    <mergeCell ref="I13:I14"/>
    <mergeCell ref="J13:J14"/>
    <mergeCell ref="M13:M14"/>
  </mergeCells>
  <dataValidations count="1">
    <dataValidation type="list" allowBlank="1" showInputMessage="1" showErrorMessage="1" sqref="B7">
      <formula1>ITEM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showGridLines="0" zoomScalePageLayoutView="0" workbookViewId="0" topLeftCell="A1">
      <pane ySplit="15" topLeftCell="A43" activePane="bottomLeft" state="frozen"/>
      <selection pane="topLeft" activeCell="A1" sqref="A1"/>
      <selection pane="bottomLeft" activeCell="J46" sqref="J46"/>
    </sheetView>
  </sheetViews>
  <sheetFormatPr defaultColWidth="11.421875" defaultRowHeight="15"/>
  <cols>
    <col min="1" max="1" width="23.8515625" style="0" customWidth="1"/>
    <col min="2" max="2" width="10.8515625" style="0" customWidth="1"/>
    <col min="3" max="3" width="7.7109375" style="0" customWidth="1"/>
    <col min="4" max="4" width="3.57421875" style="0" customWidth="1"/>
    <col min="5" max="5" width="9.140625" style="0" customWidth="1"/>
    <col min="6" max="6" width="10.57421875" style="0" customWidth="1"/>
    <col min="7" max="7" width="16.8515625" style="0" customWidth="1"/>
    <col min="8" max="8" width="12.00390625" style="0" customWidth="1"/>
    <col min="9" max="9" width="11.140625" style="0" customWidth="1"/>
    <col min="10" max="10" width="12.28125" style="0" bestFit="1" customWidth="1"/>
    <col min="11" max="11" width="11.421875" style="0" customWidth="1"/>
    <col min="14" max="14" width="12.7109375" style="0" customWidth="1"/>
  </cols>
  <sheetData>
    <row r="1" spans="1:14" ht="15" customHeight="1">
      <c r="A1" s="159" t="s">
        <v>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1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7" spans="1:2" ht="15" customHeight="1">
      <c r="A7" s="7" t="s">
        <v>14</v>
      </c>
      <c r="B7" s="15">
        <v>6</v>
      </c>
    </row>
    <row r="8" spans="1:9" ht="30.75" customHeight="1">
      <c r="A8" s="7" t="s">
        <v>7</v>
      </c>
      <c r="B8" s="160" t="str">
        <f>+VLOOKUP(B7,TABLA!$C$9:$E$15,2,0)</f>
        <v>Otros bienes del activo fijo.</v>
      </c>
      <c r="C8" s="160"/>
      <c r="D8" s="160"/>
      <c r="E8" s="160"/>
      <c r="F8" s="160"/>
      <c r="G8" s="160"/>
      <c r="H8" s="160"/>
      <c r="I8" s="160"/>
    </row>
    <row r="9" spans="1:2" s="28" customFormat="1" ht="15" customHeight="1">
      <c r="A9" s="8" t="s">
        <v>2</v>
      </c>
      <c r="B9" s="44">
        <v>39854</v>
      </c>
    </row>
    <row r="10" spans="1:4" s="28" customFormat="1" ht="16.5" customHeight="1">
      <c r="A10" s="12" t="s">
        <v>17</v>
      </c>
      <c r="B10" s="9">
        <f>+IF(DAY(B9)&lt;=14,B9-DAY(B9)+1,B9+DAY(_XLL.FIN.MES(B9,0))-DAY(B9)+1)</f>
        <v>39845</v>
      </c>
      <c r="D10" s="14"/>
    </row>
    <row r="11" spans="5:18" ht="15.75">
      <c r="E11" s="144" t="s">
        <v>26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6"/>
    </row>
    <row r="12" spans="1:18" ht="15">
      <c r="A12" s="8" t="s">
        <v>30</v>
      </c>
      <c r="B12" s="45">
        <v>40000</v>
      </c>
      <c r="R12" s="49"/>
    </row>
    <row r="13" spans="1:18" ht="15.75" customHeight="1">
      <c r="A13" s="8" t="s">
        <v>45</v>
      </c>
      <c r="B13" s="45">
        <v>10000</v>
      </c>
      <c r="C13" s="28"/>
      <c r="E13" s="130" t="s">
        <v>25</v>
      </c>
      <c r="F13" s="149" t="s">
        <v>48</v>
      </c>
      <c r="G13" s="149" t="s">
        <v>23</v>
      </c>
      <c r="H13" s="149" t="s">
        <v>49</v>
      </c>
      <c r="I13" s="149" t="s">
        <v>51</v>
      </c>
      <c r="J13" s="149" t="s">
        <v>50</v>
      </c>
      <c r="K13" s="149" t="s">
        <v>52</v>
      </c>
      <c r="L13" s="149" t="s">
        <v>50</v>
      </c>
      <c r="M13" s="147" t="s">
        <v>36</v>
      </c>
      <c r="N13" s="147" t="s">
        <v>37</v>
      </c>
      <c r="O13" s="149" t="s">
        <v>38</v>
      </c>
      <c r="P13" s="137" t="s">
        <v>28</v>
      </c>
      <c r="Q13" s="143"/>
      <c r="R13" s="151" t="s">
        <v>39</v>
      </c>
    </row>
    <row r="14" spans="4:18" ht="15" customHeight="1">
      <c r="D14" s="51"/>
      <c r="E14" s="158"/>
      <c r="F14" s="150"/>
      <c r="G14" s="150"/>
      <c r="H14" s="150"/>
      <c r="I14" s="150"/>
      <c r="J14" s="150"/>
      <c r="K14" s="150"/>
      <c r="L14" s="150"/>
      <c r="M14" s="148"/>
      <c r="N14" s="148"/>
      <c r="O14" s="150"/>
      <c r="P14" s="32" t="s">
        <v>18</v>
      </c>
      <c r="Q14" s="33" t="s">
        <v>25</v>
      </c>
      <c r="R14" s="152"/>
    </row>
    <row r="15" spans="4:20" ht="15" customHeight="1">
      <c r="D15" s="52"/>
      <c r="E15" s="112" t="str">
        <f>IF(MONTH($B$10)=1,1,CONCATENATE(12-MONTH(B10)+1," Meses"))</f>
        <v>11 Meses</v>
      </c>
      <c r="F15" s="113">
        <f>$B$16/$B$17</f>
        <v>0.18181818181818182</v>
      </c>
      <c r="G15" s="114">
        <f>$B$12-$B$13</f>
        <v>30000</v>
      </c>
      <c r="H15" s="115">
        <f>F15*G15</f>
        <v>5454.545454545455</v>
      </c>
      <c r="I15" s="112">
        <f>IF(E15&lt;&gt;1,(13-MONTH($B$10)),12)</f>
        <v>11</v>
      </c>
      <c r="J15" s="115">
        <f>H15*I15/12</f>
        <v>5000.000000000001</v>
      </c>
      <c r="K15" s="116"/>
      <c r="L15" s="115"/>
      <c r="M15" s="103">
        <f>J15+L15</f>
        <v>5000.000000000001</v>
      </c>
      <c r="N15" s="103">
        <f>+M15</f>
        <v>5000.000000000001</v>
      </c>
      <c r="O15" s="103">
        <f>($B$12-$B$13)-N15</f>
        <v>25000</v>
      </c>
      <c r="P15" s="111">
        <f>+B20/12*(13-MONTH($B$10))</f>
        <v>0.09166666666666666</v>
      </c>
      <c r="Q15" s="103">
        <f>($B$12-$B$13)*P15</f>
        <v>2750</v>
      </c>
      <c r="R15" s="47">
        <f>(J15+L15)-Q15</f>
        <v>2250.000000000001</v>
      </c>
      <c r="T15" s="61"/>
    </row>
    <row r="16" spans="1:18" ht="15">
      <c r="A16" s="8" t="s">
        <v>32</v>
      </c>
      <c r="B16" s="1">
        <f>+B21</f>
        <v>10</v>
      </c>
      <c r="C16" s="28"/>
      <c r="D16" s="51"/>
      <c r="E16" s="19">
        <f>IF(AND(E15&lt;&gt;"",N(E15)&lt;$B$16),ROW(E16)-ROW($E$14),"")</f>
        <v>2</v>
      </c>
      <c r="F16" s="60">
        <f>IF(E16&lt;&gt;"",($B$16-E16+1)/$B$17,"")</f>
        <v>0.16363636363636364</v>
      </c>
      <c r="G16" s="49">
        <f>IF(E16&lt;&gt;"",($B$12-$B$13),0)</f>
        <v>30000</v>
      </c>
      <c r="H16" s="49">
        <f>IF(E16&lt;&gt;"",F16*G16,0)</f>
        <v>4909.090909090909</v>
      </c>
      <c r="I16" s="57">
        <f>IF(E16="","",IF($E$15&lt;&gt;1,12-$I$15,12))</f>
        <v>1</v>
      </c>
      <c r="J16" s="49">
        <f>IF(E16="",0,IF($E$15=1,H16*I16/12,H15*I16/12))</f>
        <v>454.54545454545456</v>
      </c>
      <c r="K16" s="58">
        <f>IF(E16&lt;&gt;"",12-I16,"")</f>
        <v>11</v>
      </c>
      <c r="L16" s="49">
        <f>IF(E16&lt;&gt;"",H16*K16/12,"")</f>
        <v>4500</v>
      </c>
      <c r="M16" s="49">
        <f>IF(E16&lt;&gt;"",J16+L16,0)</f>
        <v>4954.545454545455</v>
      </c>
      <c r="N16" s="49">
        <f>IF(E16&lt;&gt;"",SUM($M$15:M16),0)</f>
        <v>9954.545454545456</v>
      </c>
      <c r="O16" s="49">
        <f>+IF(E16&lt;&gt;"",($B$12-$B$13)-N16,0)</f>
        <v>20045.454545454544</v>
      </c>
      <c r="P16" s="59">
        <f>IF(E16="","",$B$20)</f>
        <v>0.1</v>
      </c>
      <c r="Q16" s="69">
        <f>IF(E16&lt;&gt;"",($B$12-$B$13)*P16,0)</f>
        <v>3000</v>
      </c>
      <c r="R16" s="70">
        <f>IF(E16&lt;&gt;"",(J16+L16)-Q16,0)</f>
        <v>1954.545454545455</v>
      </c>
    </row>
    <row r="17" spans="1:18" ht="15">
      <c r="A17" s="8" t="s">
        <v>40</v>
      </c>
      <c r="B17" s="34">
        <f>+B16*(B16+1)/2</f>
        <v>55</v>
      </c>
      <c r="C17" s="28"/>
      <c r="D17" s="161"/>
      <c r="E17" s="19">
        <f aca="true" t="shared" si="0" ref="E17:E47">IF(AND(E16&lt;&gt;"",N(E16)&lt;$B$16),ROW(E17)-ROW($E$14),"")</f>
        <v>3</v>
      </c>
      <c r="F17" s="60">
        <f aca="true" t="shared" si="1" ref="F17:F47">IF(E17&lt;&gt;"",($B$16-E17+1)/$B$17,"")</f>
        <v>0.14545454545454545</v>
      </c>
      <c r="G17" s="49">
        <f>IF(E17&lt;&gt;"",($B$12-$B$13),0)</f>
        <v>30000</v>
      </c>
      <c r="H17" s="49">
        <f>IF(E17&lt;&gt;"",F17*G17,0)</f>
        <v>4363.636363636363</v>
      </c>
      <c r="I17" s="57">
        <f>IF(E17="","",IF($E$15&lt;&gt;1,12-$I$15,12))</f>
        <v>1</v>
      </c>
      <c r="J17" s="49">
        <f aca="true" t="shared" si="2" ref="J17:J47">IF(E17="",0,IF($E$15=1,H17*I17/12,H16*I17/12))</f>
        <v>409.09090909090907</v>
      </c>
      <c r="K17" s="58">
        <f>IF(E17&lt;&gt;"",12-I17,"")</f>
        <v>11</v>
      </c>
      <c r="L17" s="49">
        <f aca="true" t="shared" si="3" ref="L17:L47">IF(E17&lt;&gt;"",H17*K17/12,"")</f>
        <v>3999.9999999999995</v>
      </c>
      <c r="M17" s="49">
        <f aca="true" t="shared" si="4" ref="M17:M47">IF(E17&lt;&gt;"",J17+L17,0)</f>
        <v>4409.090909090909</v>
      </c>
      <c r="N17" s="49">
        <f>IF(E17&lt;&gt;"",SUM($M$15:M17),0)</f>
        <v>14363.636363636364</v>
      </c>
      <c r="O17" s="49">
        <f aca="true" t="shared" si="5" ref="O17:O47">+IF(E17&lt;&gt;"",($B$12-$B$13)-N17,0)</f>
        <v>15636.363636363636</v>
      </c>
      <c r="P17" s="59">
        <f aca="true" t="shared" si="6" ref="P17:P47">IF(E17="","",$B$20)</f>
        <v>0.1</v>
      </c>
      <c r="Q17" s="69">
        <f aca="true" t="shared" si="7" ref="Q17:Q47">IF(E17&lt;&gt;"",($B$12-$B$13)*P17,0)</f>
        <v>3000</v>
      </c>
      <c r="R17" s="70">
        <f aca="true" t="shared" si="8" ref="R17:R46">IF(E17&lt;&gt;"",(J17+L17)-Q17,0)</f>
        <v>1409.090909090909</v>
      </c>
    </row>
    <row r="18" spans="3:18" ht="15">
      <c r="C18" s="28"/>
      <c r="D18" s="161"/>
      <c r="E18" s="19">
        <f t="shared" si="0"/>
        <v>4</v>
      </c>
      <c r="F18" s="60">
        <f t="shared" si="1"/>
        <v>0.12727272727272726</v>
      </c>
      <c r="G18" s="49">
        <f>IF(E18&lt;&gt;"",($B$12-$B$13),0)</f>
        <v>30000</v>
      </c>
      <c r="H18" s="49">
        <f>IF(E18&lt;&gt;"",F18*G18,0)</f>
        <v>3818.1818181818176</v>
      </c>
      <c r="I18" s="57">
        <f>IF(E18="","",IF($E$15&lt;&gt;1,12-$I$15,12))</f>
        <v>1</v>
      </c>
      <c r="J18" s="49">
        <f t="shared" si="2"/>
        <v>363.63636363636357</v>
      </c>
      <c r="K18" s="58">
        <f aca="true" t="shared" si="9" ref="K18:K47">IF(E18&lt;&gt;"",12-I18,"")</f>
        <v>11</v>
      </c>
      <c r="L18" s="49">
        <f t="shared" si="3"/>
        <v>3499.9999999999995</v>
      </c>
      <c r="M18" s="49">
        <f t="shared" si="4"/>
        <v>3863.636363636363</v>
      </c>
      <c r="N18" s="49">
        <f>IF(E18&lt;&gt;"",SUM($M$15:M18),0)</f>
        <v>18227.272727272728</v>
      </c>
      <c r="O18" s="49">
        <f t="shared" si="5"/>
        <v>11772.727272727272</v>
      </c>
      <c r="P18" s="59">
        <f t="shared" si="6"/>
        <v>0.1</v>
      </c>
      <c r="Q18" s="69">
        <f t="shared" si="7"/>
        <v>3000</v>
      </c>
      <c r="R18" s="70">
        <f>IF(E18&lt;&gt;"",(J18+L18)-Q18,0)</f>
        <v>863.6363636363631</v>
      </c>
    </row>
    <row r="19" spans="1:18" ht="15">
      <c r="A19" s="162" t="s">
        <v>34</v>
      </c>
      <c r="B19" s="162"/>
      <c r="C19" s="14"/>
      <c r="D19" s="51"/>
      <c r="E19" s="19">
        <f t="shared" si="0"/>
        <v>5</v>
      </c>
      <c r="F19" s="60">
        <f t="shared" si="1"/>
        <v>0.10909090909090909</v>
      </c>
      <c r="G19" s="49">
        <f>IF(E19&lt;&gt;"",($B$12-$B$13),0)</f>
        <v>30000</v>
      </c>
      <c r="H19" s="49">
        <f>IF(E19&lt;&gt;"",F19*G19,0)</f>
        <v>3272.7272727272725</v>
      </c>
      <c r="I19" s="57">
        <f>IF(E19="","",IF($E$15&lt;&gt;1,12-$I$15,12))</f>
        <v>1</v>
      </c>
      <c r="J19" s="49">
        <f t="shared" si="2"/>
        <v>318.18181818181813</v>
      </c>
      <c r="K19" s="58">
        <f t="shared" si="9"/>
        <v>11</v>
      </c>
      <c r="L19" s="49">
        <f t="shared" si="3"/>
        <v>3000</v>
      </c>
      <c r="M19" s="49">
        <f t="shared" si="4"/>
        <v>3318.181818181818</v>
      </c>
      <c r="N19" s="49">
        <f>IF(E19&lt;&gt;"",SUM($M$15:M19),0)</f>
        <v>21545.454545454544</v>
      </c>
      <c r="O19" s="49">
        <f t="shared" si="5"/>
        <v>8454.545454545456</v>
      </c>
      <c r="P19" s="59">
        <f t="shared" si="6"/>
        <v>0.1</v>
      </c>
      <c r="Q19" s="69">
        <f t="shared" si="7"/>
        <v>3000</v>
      </c>
      <c r="R19" s="70">
        <f t="shared" si="8"/>
        <v>318.181818181818</v>
      </c>
    </row>
    <row r="20" spans="1:18" ht="15">
      <c r="A20" s="8" t="s">
        <v>0</v>
      </c>
      <c r="B20" s="10">
        <f>+VLOOKUP(B7,TABLA!$C$9:$E$15,3,0)</f>
        <v>0.1</v>
      </c>
      <c r="C20" s="50"/>
      <c r="D20" s="51"/>
      <c r="E20" s="19">
        <f t="shared" si="0"/>
        <v>6</v>
      </c>
      <c r="F20" s="60">
        <f t="shared" si="1"/>
        <v>0.09090909090909091</v>
      </c>
      <c r="G20" s="49">
        <f aca="true" t="shared" si="10" ref="G20:G47">IF(E20&lt;&gt;"",($B$12-$B$13),0)</f>
        <v>30000</v>
      </c>
      <c r="H20" s="49">
        <f aca="true" t="shared" si="11" ref="H20:H47">IF(E20&lt;&gt;"",F20*G20,0)</f>
        <v>2727.2727272727275</v>
      </c>
      <c r="I20" s="57">
        <f aca="true" t="shared" si="12" ref="I20:I47">IF(E20="","",IF($E$15&lt;&gt;1,12-$I$15,12))</f>
        <v>1</v>
      </c>
      <c r="J20" s="49">
        <f t="shared" si="2"/>
        <v>272.7272727272727</v>
      </c>
      <c r="K20" s="58">
        <f t="shared" si="9"/>
        <v>11</v>
      </c>
      <c r="L20" s="49">
        <f t="shared" si="3"/>
        <v>2500.0000000000005</v>
      </c>
      <c r="M20" s="49">
        <f t="shared" si="4"/>
        <v>2772.727272727273</v>
      </c>
      <c r="N20" s="49">
        <f>IF(E20&lt;&gt;"",SUM($M$15:M20),0)</f>
        <v>24318.181818181816</v>
      </c>
      <c r="O20" s="49">
        <f t="shared" si="5"/>
        <v>5681.818181818184</v>
      </c>
      <c r="P20" s="59">
        <f t="shared" si="6"/>
        <v>0.1</v>
      </c>
      <c r="Q20" s="69">
        <f t="shared" si="7"/>
        <v>3000</v>
      </c>
      <c r="R20" s="70">
        <f t="shared" si="8"/>
        <v>-227.27272727272702</v>
      </c>
    </row>
    <row r="21" spans="1:18" ht="15">
      <c r="A21" s="8" t="s">
        <v>33</v>
      </c>
      <c r="B21" s="41">
        <f>INT(1/B20)</f>
        <v>10</v>
      </c>
      <c r="C21" s="14"/>
      <c r="D21" s="51"/>
      <c r="E21" s="19">
        <f t="shared" si="0"/>
        <v>7</v>
      </c>
      <c r="F21" s="60">
        <f t="shared" si="1"/>
        <v>0.07272727272727272</v>
      </c>
      <c r="G21" s="49">
        <f t="shared" si="10"/>
        <v>30000</v>
      </c>
      <c r="H21" s="49">
        <f t="shared" si="11"/>
        <v>2181.8181818181815</v>
      </c>
      <c r="I21" s="57">
        <f t="shared" si="12"/>
        <v>1</v>
      </c>
      <c r="J21" s="49">
        <f t="shared" si="2"/>
        <v>227.27272727272728</v>
      </c>
      <c r="K21" s="58">
        <f t="shared" si="9"/>
        <v>11</v>
      </c>
      <c r="L21" s="49">
        <f t="shared" si="3"/>
        <v>1999.9999999999998</v>
      </c>
      <c r="M21" s="49">
        <f t="shared" si="4"/>
        <v>2227.272727272727</v>
      </c>
      <c r="N21" s="49">
        <f>IF(E21&lt;&gt;"",SUM($M$15:M21),0)</f>
        <v>26545.454545454544</v>
      </c>
      <c r="O21" s="49">
        <f t="shared" si="5"/>
        <v>3454.545454545456</v>
      </c>
      <c r="P21" s="59">
        <f t="shared" si="6"/>
        <v>0.1</v>
      </c>
      <c r="Q21" s="69">
        <f t="shared" si="7"/>
        <v>3000</v>
      </c>
      <c r="R21" s="70">
        <f t="shared" si="8"/>
        <v>-772.727272727273</v>
      </c>
    </row>
    <row r="22" spans="1:18" ht="15">
      <c r="A22" s="13"/>
      <c r="D22" s="51"/>
      <c r="E22" s="19">
        <f t="shared" si="0"/>
        <v>8</v>
      </c>
      <c r="F22" s="60">
        <f t="shared" si="1"/>
        <v>0.05454545454545454</v>
      </c>
      <c r="G22" s="49">
        <f t="shared" si="10"/>
        <v>30000</v>
      </c>
      <c r="H22" s="49">
        <f t="shared" si="11"/>
        <v>1636.3636363636363</v>
      </c>
      <c r="I22" s="57">
        <f t="shared" si="12"/>
        <v>1</v>
      </c>
      <c r="J22" s="49">
        <f t="shared" si="2"/>
        <v>181.81818181818178</v>
      </c>
      <c r="K22" s="58">
        <f t="shared" si="9"/>
        <v>11</v>
      </c>
      <c r="L22" s="49">
        <f t="shared" si="3"/>
        <v>1500</v>
      </c>
      <c r="M22" s="49">
        <f t="shared" si="4"/>
        <v>1681.8181818181818</v>
      </c>
      <c r="N22" s="49">
        <f>IF(E22&lt;&gt;"",SUM($M$15:M22),0)</f>
        <v>28227.272727272724</v>
      </c>
      <c r="O22" s="49">
        <f t="shared" si="5"/>
        <v>1772.7272727272757</v>
      </c>
      <c r="P22" s="59">
        <f t="shared" si="6"/>
        <v>0.1</v>
      </c>
      <c r="Q22" s="69">
        <f t="shared" si="7"/>
        <v>3000</v>
      </c>
      <c r="R22" s="70">
        <f t="shared" si="8"/>
        <v>-1318.1818181818182</v>
      </c>
    </row>
    <row r="23" spans="1:18" ht="15">
      <c r="A23" s="13"/>
      <c r="D23" s="51"/>
      <c r="E23" s="19">
        <f t="shared" si="0"/>
        <v>9</v>
      </c>
      <c r="F23" s="60">
        <f t="shared" si="1"/>
        <v>0.03636363636363636</v>
      </c>
      <c r="G23" s="49">
        <f t="shared" si="10"/>
        <v>30000</v>
      </c>
      <c r="H23" s="49">
        <f t="shared" si="11"/>
        <v>1090.9090909090908</v>
      </c>
      <c r="I23" s="57">
        <f t="shared" si="12"/>
        <v>1</v>
      </c>
      <c r="J23" s="49">
        <f t="shared" si="2"/>
        <v>136.36363636363635</v>
      </c>
      <c r="K23" s="58">
        <f t="shared" si="9"/>
        <v>11</v>
      </c>
      <c r="L23" s="49">
        <f t="shared" si="3"/>
        <v>999.9999999999999</v>
      </c>
      <c r="M23" s="49">
        <f t="shared" si="4"/>
        <v>1136.3636363636363</v>
      </c>
      <c r="N23" s="49">
        <f>IF(E23&lt;&gt;"",SUM($M$15:M23),0)</f>
        <v>29363.63636363636</v>
      </c>
      <c r="O23" s="49">
        <f t="shared" si="5"/>
        <v>636.3636363636397</v>
      </c>
      <c r="P23" s="59">
        <f t="shared" si="6"/>
        <v>0.1</v>
      </c>
      <c r="Q23" s="69">
        <f t="shared" si="7"/>
        <v>3000</v>
      </c>
      <c r="R23" s="70">
        <f t="shared" si="8"/>
        <v>-1863.6363636363637</v>
      </c>
    </row>
    <row r="24" spans="1:18" ht="15">
      <c r="A24" s="100" t="s">
        <v>64</v>
      </c>
      <c r="D24" s="51"/>
      <c r="E24" s="19">
        <f t="shared" si="0"/>
        <v>10</v>
      </c>
      <c r="F24" s="60">
        <f t="shared" si="1"/>
        <v>0.01818181818181818</v>
      </c>
      <c r="G24" s="49">
        <f t="shared" si="10"/>
        <v>30000</v>
      </c>
      <c r="H24" s="49">
        <f t="shared" si="11"/>
        <v>545.4545454545454</v>
      </c>
      <c r="I24" s="57">
        <f t="shared" si="12"/>
        <v>1</v>
      </c>
      <c r="J24" s="49">
        <f t="shared" si="2"/>
        <v>90.90909090909089</v>
      </c>
      <c r="K24" s="58">
        <f t="shared" si="9"/>
        <v>11</v>
      </c>
      <c r="L24" s="49">
        <f t="shared" si="3"/>
        <v>499.99999999999994</v>
      </c>
      <c r="M24" s="49">
        <f t="shared" si="4"/>
        <v>590.9090909090909</v>
      </c>
      <c r="N24" s="49">
        <f>IF(E24&lt;&gt;"",SUM($M$15:M24),0)</f>
        <v>29954.545454545452</v>
      </c>
      <c r="O24" s="49">
        <f t="shared" si="5"/>
        <v>45.45454545454777</v>
      </c>
      <c r="P24" s="59">
        <f t="shared" si="6"/>
        <v>0.1</v>
      </c>
      <c r="Q24" s="69">
        <f t="shared" si="7"/>
        <v>3000</v>
      </c>
      <c r="R24" s="70">
        <f t="shared" si="8"/>
        <v>-2409.090909090909</v>
      </c>
    </row>
    <row r="25" spans="1:18" ht="15">
      <c r="A25" s="100" t="s">
        <v>65</v>
      </c>
      <c r="D25" s="51"/>
      <c r="E25" s="19">
        <f t="shared" si="0"/>
      </c>
      <c r="F25" s="60">
        <f t="shared" si="1"/>
      </c>
      <c r="G25" s="49">
        <f t="shared" si="10"/>
        <v>0</v>
      </c>
      <c r="H25" s="49">
        <f t="shared" si="11"/>
        <v>0</v>
      </c>
      <c r="I25" s="57">
        <f t="shared" si="12"/>
      </c>
      <c r="J25" s="49">
        <f t="shared" si="2"/>
        <v>0</v>
      </c>
      <c r="K25" s="58">
        <f t="shared" si="9"/>
      </c>
      <c r="L25" s="49">
        <f t="shared" si="3"/>
      </c>
      <c r="M25" s="49">
        <f t="shared" si="4"/>
        <v>0</v>
      </c>
      <c r="N25" s="49">
        <f>IF(E25&lt;&gt;"",SUM($M$15:M25),0)</f>
        <v>0</v>
      </c>
      <c r="O25" s="49">
        <f t="shared" si="5"/>
        <v>0</v>
      </c>
      <c r="P25" s="59">
        <f t="shared" si="6"/>
      </c>
      <c r="Q25" s="69">
        <f t="shared" si="7"/>
        <v>0</v>
      </c>
      <c r="R25" s="70">
        <f t="shared" si="8"/>
        <v>0</v>
      </c>
    </row>
    <row r="26" spans="1:18" ht="15">
      <c r="A26" s="13"/>
      <c r="B26" s="56"/>
      <c r="D26" s="51"/>
      <c r="E26" s="19">
        <f t="shared" si="0"/>
      </c>
      <c r="F26" s="60">
        <f t="shared" si="1"/>
      </c>
      <c r="G26" s="49">
        <f t="shared" si="10"/>
        <v>0</v>
      </c>
      <c r="H26" s="49">
        <f t="shared" si="11"/>
        <v>0</v>
      </c>
      <c r="I26" s="57">
        <f t="shared" si="12"/>
      </c>
      <c r="J26" s="49">
        <f t="shared" si="2"/>
        <v>0</v>
      </c>
      <c r="K26" s="58">
        <f t="shared" si="9"/>
      </c>
      <c r="L26" s="49">
        <f t="shared" si="3"/>
      </c>
      <c r="M26" s="49">
        <f t="shared" si="4"/>
        <v>0</v>
      </c>
      <c r="N26" s="49">
        <f>IF(E26&lt;&gt;"",SUM($M$15:M26),0)</f>
        <v>0</v>
      </c>
      <c r="O26" s="49">
        <f t="shared" si="5"/>
        <v>0</v>
      </c>
      <c r="P26" s="59">
        <f t="shared" si="6"/>
      </c>
      <c r="Q26" s="69">
        <f t="shared" si="7"/>
        <v>0</v>
      </c>
      <c r="R26" s="70">
        <f t="shared" si="8"/>
        <v>0</v>
      </c>
    </row>
    <row r="27" spans="1:18" ht="15">
      <c r="A27" s="13"/>
      <c r="D27" s="51"/>
      <c r="E27" s="19">
        <f t="shared" si="0"/>
      </c>
      <c r="F27" s="60">
        <f t="shared" si="1"/>
      </c>
      <c r="G27" s="49">
        <f t="shared" si="10"/>
        <v>0</v>
      </c>
      <c r="H27" s="49">
        <f t="shared" si="11"/>
        <v>0</v>
      </c>
      <c r="I27" s="57">
        <f t="shared" si="12"/>
      </c>
      <c r="J27" s="49">
        <f t="shared" si="2"/>
        <v>0</v>
      </c>
      <c r="K27" s="58">
        <f t="shared" si="9"/>
      </c>
      <c r="L27" s="49">
        <f t="shared" si="3"/>
      </c>
      <c r="M27" s="49">
        <f t="shared" si="4"/>
        <v>0</v>
      </c>
      <c r="N27" s="49">
        <f>IF(E27&lt;&gt;"",SUM($M$15:M27),0)</f>
        <v>0</v>
      </c>
      <c r="O27" s="49">
        <f t="shared" si="5"/>
        <v>0</v>
      </c>
      <c r="P27" s="59">
        <f t="shared" si="6"/>
      </c>
      <c r="Q27" s="69">
        <f t="shared" si="7"/>
        <v>0</v>
      </c>
      <c r="R27" s="70">
        <f t="shared" si="8"/>
        <v>0</v>
      </c>
    </row>
    <row r="28" spans="4:18" ht="15">
      <c r="D28" s="51"/>
      <c r="E28" s="19">
        <f t="shared" si="0"/>
      </c>
      <c r="F28" s="60">
        <f t="shared" si="1"/>
      </c>
      <c r="G28" s="49">
        <f t="shared" si="10"/>
        <v>0</v>
      </c>
      <c r="H28" s="49">
        <f t="shared" si="11"/>
        <v>0</v>
      </c>
      <c r="I28" s="57">
        <f t="shared" si="12"/>
      </c>
      <c r="J28" s="49">
        <f t="shared" si="2"/>
        <v>0</v>
      </c>
      <c r="K28" s="58">
        <f t="shared" si="9"/>
      </c>
      <c r="L28" s="49">
        <f t="shared" si="3"/>
      </c>
      <c r="M28" s="49">
        <f t="shared" si="4"/>
        <v>0</v>
      </c>
      <c r="N28" s="49">
        <f>IF(E28&lt;&gt;"",SUM($M$15:M28),0)</f>
        <v>0</v>
      </c>
      <c r="O28" s="49">
        <f t="shared" si="5"/>
        <v>0</v>
      </c>
      <c r="P28" s="59">
        <f t="shared" si="6"/>
      </c>
      <c r="Q28" s="69">
        <f t="shared" si="7"/>
        <v>0</v>
      </c>
      <c r="R28" s="70">
        <f t="shared" si="8"/>
        <v>0</v>
      </c>
    </row>
    <row r="29" spans="4:18" ht="15">
      <c r="D29" s="51"/>
      <c r="E29" s="19">
        <f t="shared" si="0"/>
      </c>
      <c r="F29" s="60">
        <f t="shared" si="1"/>
      </c>
      <c r="G29" s="49">
        <f t="shared" si="10"/>
        <v>0</v>
      </c>
      <c r="H29" s="49">
        <f t="shared" si="11"/>
        <v>0</v>
      </c>
      <c r="I29" s="57">
        <f t="shared" si="12"/>
      </c>
      <c r="J29" s="49">
        <f t="shared" si="2"/>
        <v>0</v>
      </c>
      <c r="K29" s="58">
        <f t="shared" si="9"/>
      </c>
      <c r="L29" s="49">
        <f t="shared" si="3"/>
      </c>
      <c r="M29" s="49">
        <f t="shared" si="4"/>
        <v>0</v>
      </c>
      <c r="N29" s="49">
        <f>IF(E29&lt;&gt;"",SUM($M$15:M29),0)</f>
        <v>0</v>
      </c>
      <c r="O29" s="49">
        <f t="shared" si="5"/>
        <v>0</v>
      </c>
      <c r="P29" s="59">
        <f t="shared" si="6"/>
      </c>
      <c r="Q29" s="69">
        <f t="shared" si="7"/>
        <v>0</v>
      </c>
      <c r="R29" s="70">
        <f t="shared" si="8"/>
        <v>0</v>
      </c>
    </row>
    <row r="30" spans="4:18" ht="15">
      <c r="D30" s="51"/>
      <c r="E30" s="19">
        <f t="shared" si="0"/>
      </c>
      <c r="F30" s="60">
        <f t="shared" si="1"/>
      </c>
      <c r="G30" s="49">
        <f t="shared" si="10"/>
        <v>0</v>
      </c>
      <c r="H30" s="49">
        <f t="shared" si="11"/>
        <v>0</v>
      </c>
      <c r="I30" s="57">
        <f t="shared" si="12"/>
      </c>
      <c r="J30" s="49">
        <f t="shared" si="2"/>
        <v>0</v>
      </c>
      <c r="K30" s="58">
        <f t="shared" si="9"/>
      </c>
      <c r="L30" s="49">
        <f t="shared" si="3"/>
      </c>
      <c r="M30" s="49">
        <f t="shared" si="4"/>
        <v>0</v>
      </c>
      <c r="N30" s="49">
        <f>IF(E30&lt;&gt;"",SUM($M$15:M30),0)</f>
        <v>0</v>
      </c>
      <c r="O30" s="49">
        <f t="shared" si="5"/>
        <v>0</v>
      </c>
      <c r="P30" s="59">
        <f t="shared" si="6"/>
      </c>
      <c r="Q30" s="69">
        <f t="shared" si="7"/>
        <v>0</v>
      </c>
      <c r="R30" s="70">
        <f t="shared" si="8"/>
        <v>0</v>
      </c>
    </row>
    <row r="31" spans="4:18" ht="15">
      <c r="D31" s="51"/>
      <c r="E31" s="19">
        <f t="shared" si="0"/>
      </c>
      <c r="F31" s="60">
        <f t="shared" si="1"/>
      </c>
      <c r="G31" s="49">
        <f t="shared" si="10"/>
        <v>0</v>
      </c>
      <c r="H31" s="49">
        <f t="shared" si="11"/>
        <v>0</v>
      </c>
      <c r="I31" s="57">
        <f t="shared" si="12"/>
      </c>
      <c r="J31" s="49">
        <f t="shared" si="2"/>
        <v>0</v>
      </c>
      <c r="K31" s="58">
        <f t="shared" si="9"/>
      </c>
      <c r="L31" s="49">
        <f t="shared" si="3"/>
      </c>
      <c r="M31" s="49">
        <f t="shared" si="4"/>
        <v>0</v>
      </c>
      <c r="N31" s="49">
        <f>IF(E31&lt;&gt;"",SUM($M$15:M31),0)</f>
        <v>0</v>
      </c>
      <c r="O31" s="49">
        <f t="shared" si="5"/>
        <v>0</v>
      </c>
      <c r="P31" s="59">
        <f t="shared" si="6"/>
      </c>
      <c r="Q31" s="69">
        <f t="shared" si="7"/>
        <v>0</v>
      </c>
      <c r="R31" s="70">
        <f t="shared" si="8"/>
        <v>0</v>
      </c>
    </row>
    <row r="32" spans="4:18" ht="15">
      <c r="D32" s="51"/>
      <c r="E32" s="19">
        <f t="shared" si="0"/>
      </c>
      <c r="F32" s="60">
        <f t="shared" si="1"/>
      </c>
      <c r="G32" s="49">
        <f t="shared" si="10"/>
        <v>0</v>
      </c>
      <c r="H32" s="49">
        <f t="shared" si="11"/>
        <v>0</v>
      </c>
      <c r="I32" s="57">
        <f t="shared" si="12"/>
      </c>
      <c r="J32" s="49">
        <f t="shared" si="2"/>
        <v>0</v>
      </c>
      <c r="K32" s="58">
        <f t="shared" si="9"/>
      </c>
      <c r="L32" s="49">
        <f t="shared" si="3"/>
      </c>
      <c r="M32" s="49">
        <f t="shared" si="4"/>
        <v>0</v>
      </c>
      <c r="N32" s="49">
        <f>IF(E32&lt;&gt;"",SUM($M$15:M32),0)</f>
        <v>0</v>
      </c>
      <c r="O32" s="49">
        <f t="shared" si="5"/>
        <v>0</v>
      </c>
      <c r="P32" s="59">
        <f t="shared" si="6"/>
      </c>
      <c r="Q32" s="69">
        <f t="shared" si="7"/>
        <v>0</v>
      </c>
      <c r="R32" s="70">
        <f t="shared" si="8"/>
        <v>0</v>
      </c>
    </row>
    <row r="33" spans="4:18" ht="15">
      <c r="D33" s="51"/>
      <c r="E33" s="19">
        <f t="shared" si="0"/>
      </c>
      <c r="F33" s="60">
        <f t="shared" si="1"/>
      </c>
      <c r="G33" s="49">
        <f t="shared" si="10"/>
        <v>0</v>
      </c>
      <c r="H33" s="49">
        <f t="shared" si="11"/>
        <v>0</v>
      </c>
      <c r="I33" s="57">
        <f t="shared" si="12"/>
      </c>
      <c r="J33" s="49">
        <f t="shared" si="2"/>
        <v>0</v>
      </c>
      <c r="K33" s="58">
        <f t="shared" si="9"/>
      </c>
      <c r="L33" s="49">
        <f t="shared" si="3"/>
      </c>
      <c r="M33" s="49">
        <f t="shared" si="4"/>
        <v>0</v>
      </c>
      <c r="N33" s="49">
        <f>IF(E33&lt;&gt;"",SUM($M$15:M33),0)</f>
        <v>0</v>
      </c>
      <c r="O33" s="49">
        <f t="shared" si="5"/>
        <v>0</v>
      </c>
      <c r="P33" s="59">
        <f t="shared" si="6"/>
      </c>
      <c r="Q33" s="69">
        <f t="shared" si="7"/>
        <v>0</v>
      </c>
      <c r="R33" s="70">
        <f t="shared" si="8"/>
        <v>0</v>
      </c>
    </row>
    <row r="34" spans="4:18" ht="15">
      <c r="D34" s="51"/>
      <c r="E34" s="19">
        <f t="shared" si="0"/>
      </c>
      <c r="F34" s="60">
        <f t="shared" si="1"/>
      </c>
      <c r="G34" s="49">
        <f t="shared" si="10"/>
        <v>0</v>
      </c>
      <c r="H34" s="49">
        <f t="shared" si="11"/>
        <v>0</v>
      </c>
      <c r="I34" s="57">
        <f t="shared" si="12"/>
      </c>
      <c r="J34" s="49">
        <f t="shared" si="2"/>
        <v>0</v>
      </c>
      <c r="K34" s="58">
        <f t="shared" si="9"/>
      </c>
      <c r="L34" s="49">
        <f t="shared" si="3"/>
      </c>
      <c r="M34" s="49">
        <f t="shared" si="4"/>
        <v>0</v>
      </c>
      <c r="N34" s="49">
        <f>IF(E34&lt;&gt;"",SUM($M$15:M34),0)</f>
        <v>0</v>
      </c>
      <c r="O34" s="49">
        <f t="shared" si="5"/>
        <v>0</v>
      </c>
      <c r="P34" s="59">
        <f t="shared" si="6"/>
      </c>
      <c r="Q34" s="69">
        <f t="shared" si="7"/>
        <v>0</v>
      </c>
      <c r="R34" s="70">
        <f t="shared" si="8"/>
        <v>0</v>
      </c>
    </row>
    <row r="35" spans="4:18" ht="15">
      <c r="D35" s="51"/>
      <c r="E35" s="19">
        <f t="shared" si="0"/>
      </c>
      <c r="F35" s="60">
        <f t="shared" si="1"/>
      </c>
      <c r="G35" s="49">
        <f t="shared" si="10"/>
        <v>0</v>
      </c>
      <c r="H35" s="49">
        <f t="shared" si="11"/>
        <v>0</v>
      </c>
      <c r="I35" s="57">
        <f t="shared" si="12"/>
      </c>
      <c r="J35" s="49">
        <f t="shared" si="2"/>
        <v>0</v>
      </c>
      <c r="K35" s="58">
        <f t="shared" si="9"/>
      </c>
      <c r="L35" s="49">
        <f t="shared" si="3"/>
      </c>
      <c r="M35" s="49">
        <f t="shared" si="4"/>
        <v>0</v>
      </c>
      <c r="N35" s="49">
        <f>IF(E35&lt;&gt;"",SUM($M$15:M35),0)</f>
        <v>0</v>
      </c>
      <c r="O35" s="49">
        <f t="shared" si="5"/>
        <v>0</v>
      </c>
      <c r="P35" s="59">
        <f t="shared" si="6"/>
      </c>
      <c r="Q35" s="69">
        <f t="shared" si="7"/>
        <v>0</v>
      </c>
      <c r="R35" s="70">
        <f t="shared" si="8"/>
        <v>0</v>
      </c>
    </row>
    <row r="36" spans="4:18" ht="15">
      <c r="D36" s="51"/>
      <c r="E36" s="19">
        <f t="shared" si="0"/>
      </c>
      <c r="F36" s="60">
        <f t="shared" si="1"/>
      </c>
      <c r="G36" s="49">
        <f t="shared" si="10"/>
        <v>0</v>
      </c>
      <c r="H36" s="49">
        <f t="shared" si="11"/>
        <v>0</v>
      </c>
      <c r="I36" s="57">
        <f t="shared" si="12"/>
      </c>
      <c r="J36" s="49">
        <f t="shared" si="2"/>
        <v>0</v>
      </c>
      <c r="K36" s="58">
        <f t="shared" si="9"/>
      </c>
      <c r="L36" s="49">
        <f t="shared" si="3"/>
      </c>
      <c r="M36" s="49">
        <f t="shared" si="4"/>
        <v>0</v>
      </c>
      <c r="N36" s="49">
        <f>IF(E36&lt;&gt;"",SUM($M$15:M36),0)</f>
        <v>0</v>
      </c>
      <c r="O36" s="49">
        <f t="shared" si="5"/>
        <v>0</v>
      </c>
      <c r="P36" s="59">
        <f t="shared" si="6"/>
      </c>
      <c r="Q36" s="69">
        <f t="shared" si="7"/>
        <v>0</v>
      </c>
      <c r="R36" s="70">
        <f t="shared" si="8"/>
        <v>0</v>
      </c>
    </row>
    <row r="37" spans="4:18" ht="15">
      <c r="D37" s="51"/>
      <c r="E37" s="19">
        <f t="shared" si="0"/>
      </c>
      <c r="F37" s="60">
        <f t="shared" si="1"/>
      </c>
      <c r="G37" s="49">
        <f t="shared" si="10"/>
        <v>0</v>
      </c>
      <c r="H37" s="49">
        <f t="shared" si="11"/>
        <v>0</v>
      </c>
      <c r="I37" s="57">
        <f t="shared" si="12"/>
      </c>
      <c r="J37" s="49">
        <f t="shared" si="2"/>
        <v>0</v>
      </c>
      <c r="K37" s="58">
        <f t="shared" si="9"/>
      </c>
      <c r="L37" s="49">
        <f t="shared" si="3"/>
      </c>
      <c r="M37" s="49">
        <f t="shared" si="4"/>
        <v>0</v>
      </c>
      <c r="N37" s="49">
        <f>IF(E37&lt;&gt;"",SUM($M$15:M37),0)</f>
        <v>0</v>
      </c>
      <c r="O37" s="49">
        <f t="shared" si="5"/>
        <v>0</v>
      </c>
      <c r="P37" s="59">
        <f t="shared" si="6"/>
      </c>
      <c r="Q37" s="69">
        <f t="shared" si="7"/>
        <v>0</v>
      </c>
      <c r="R37" s="70">
        <f t="shared" si="8"/>
        <v>0</v>
      </c>
    </row>
    <row r="38" spans="4:18" ht="15">
      <c r="D38" s="51"/>
      <c r="E38" s="19">
        <f t="shared" si="0"/>
      </c>
      <c r="F38" s="60">
        <f t="shared" si="1"/>
      </c>
      <c r="G38" s="49">
        <f t="shared" si="10"/>
        <v>0</v>
      </c>
      <c r="H38" s="49">
        <f t="shared" si="11"/>
        <v>0</v>
      </c>
      <c r="I38" s="57">
        <f t="shared" si="12"/>
      </c>
      <c r="J38" s="49">
        <f t="shared" si="2"/>
        <v>0</v>
      </c>
      <c r="K38" s="58">
        <f t="shared" si="9"/>
      </c>
      <c r="L38" s="49">
        <f t="shared" si="3"/>
      </c>
      <c r="M38" s="49">
        <f t="shared" si="4"/>
        <v>0</v>
      </c>
      <c r="N38" s="49">
        <f>IF(E38&lt;&gt;"",SUM($M$15:M38),0)</f>
        <v>0</v>
      </c>
      <c r="O38" s="49">
        <f t="shared" si="5"/>
        <v>0</v>
      </c>
      <c r="P38" s="59">
        <f t="shared" si="6"/>
      </c>
      <c r="Q38" s="69">
        <f t="shared" si="7"/>
        <v>0</v>
      </c>
      <c r="R38" s="70">
        <f t="shared" si="8"/>
        <v>0</v>
      </c>
    </row>
    <row r="39" spans="4:18" ht="15">
      <c r="D39" s="51"/>
      <c r="E39" s="19">
        <f t="shared" si="0"/>
      </c>
      <c r="F39" s="60">
        <f t="shared" si="1"/>
      </c>
      <c r="G39" s="49">
        <f t="shared" si="10"/>
        <v>0</v>
      </c>
      <c r="H39" s="49">
        <f t="shared" si="11"/>
        <v>0</v>
      </c>
      <c r="I39" s="57">
        <f t="shared" si="12"/>
      </c>
      <c r="J39" s="49">
        <f t="shared" si="2"/>
        <v>0</v>
      </c>
      <c r="K39" s="58">
        <f t="shared" si="9"/>
      </c>
      <c r="L39" s="49">
        <f t="shared" si="3"/>
      </c>
      <c r="M39" s="49">
        <f t="shared" si="4"/>
        <v>0</v>
      </c>
      <c r="N39" s="49">
        <f>IF(E39&lt;&gt;"",SUM($M$15:M39),0)</f>
        <v>0</v>
      </c>
      <c r="O39" s="49">
        <f t="shared" si="5"/>
        <v>0</v>
      </c>
      <c r="P39" s="59">
        <f t="shared" si="6"/>
      </c>
      <c r="Q39" s="69">
        <f t="shared" si="7"/>
        <v>0</v>
      </c>
      <c r="R39" s="70">
        <f t="shared" si="8"/>
        <v>0</v>
      </c>
    </row>
    <row r="40" spans="4:18" ht="15">
      <c r="D40" s="51"/>
      <c r="E40" s="19">
        <f t="shared" si="0"/>
      </c>
      <c r="F40" s="60">
        <f t="shared" si="1"/>
      </c>
      <c r="G40" s="49">
        <f t="shared" si="10"/>
        <v>0</v>
      </c>
      <c r="H40" s="49">
        <f t="shared" si="11"/>
        <v>0</v>
      </c>
      <c r="I40" s="57">
        <f t="shared" si="12"/>
      </c>
      <c r="J40" s="49">
        <f t="shared" si="2"/>
        <v>0</v>
      </c>
      <c r="K40" s="58">
        <f t="shared" si="9"/>
      </c>
      <c r="L40" s="49">
        <f t="shared" si="3"/>
      </c>
      <c r="M40" s="49">
        <f t="shared" si="4"/>
        <v>0</v>
      </c>
      <c r="N40" s="49">
        <f>IF(E40&lt;&gt;"",SUM($M$15:M40),0)</f>
        <v>0</v>
      </c>
      <c r="O40" s="49">
        <f t="shared" si="5"/>
        <v>0</v>
      </c>
      <c r="P40" s="59">
        <f t="shared" si="6"/>
      </c>
      <c r="Q40" s="69">
        <f t="shared" si="7"/>
        <v>0</v>
      </c>
      <c r="R40" s="70">
        <f t="shared" si="8"/>
        <v>0</v>
      </c>
    </row>
    <row r="41" spans="4:18" ht="15">
      <c r="D41" s="51"/>
      <c r="E41" s="19">
        <f t="shared" si="0"/>
      </c>
      <c r="F41" s="60">
        <f t="shared" si="1"/>
      </c>
      <c r="G41" s="49">
        <f t="shared" si="10"/>
        <v>0</v>
      </c>
      <c r="H41" s="49">
        <f t="shared" si="11"/>
        <v>0</v>
      </c>
      <c r="I41" s="57">
        <f t="shared" si="12"/>
      </c>
      <c r="J41" s="49">
        <f t="shared" si="2"/>
        <v>0</v>
      </c>
      <c r="K41" s="58">
        <f t="shared" si="9"/>
      </c>
      <c r="L41" s="49">
        <f t="shared" si="3"/>
      </c>
      <c r="M41" s="49">
        <f t="shared" si="4"/>
        <v>0</v>
      </c>
      <c r="N41" s="49">
        <f>IF(E41&lt;&gt;"",SUM($M$15:M41),0)</f>
        <v>0</v>
      </c>
      <c r="O41" s="49">
        <f t="shared" si="5"/>
        <v>0</v>
      </c>
      <c r="P41" s="59">
        <f t="shared" si="6"/>
      </c>
      <c r="Q41" s="69">
        <f t="shared" si="7"/>
        <v>0</v>
      </c>
      <c r="R41" s="70">
        <f t="shared" si="8"/>
        <v>0</v>
      </c>
    </row>
    <row r="42" spans="4:18" ht="15">
      <c r="D42" s="51"/>
      <c r="E42" s="19">
        <f t="shared" si="0"/>
      </c>
      <c r="F42" s="60">
        <f t="shared" si="1"/>
      </c>
      <c r="G42" s="49">
        <f t="shared" si="10"/>
        <v>0</v>
      </c>
      <c r="H42" s="49">
        <f t="shared" si="11"/>
        <v>0</v>
      </c>
      <c r="I42" s="57">
        <f t="shared" si="12"/>
      </c>
      <c r="J42" s="49">
        <f t="shared" si="2"/>
        <v>0</v>
      </c>
      <c r="K42" s="58">
        <f t="shared" si="9"/>
      </c>
      <c r="L42" s="49">
        <f t="shared" si="3"/>
      </c>
      <c r="M42" s="49">
        <f t="shared" si="4"/>
        <v>0</v>
      </c>
      <c r="N42" s="49">
        <f>IF(E42&lt;&gt;"",SUM($M$15:M42),0)</f>
        <v>0</v>
      </c>
      <c r="O42" s="49">
        <f t="shared" si="5"/>
        <v>0</v>
      </c>
      <c r="P42" s="59">
        <f t="shared" si="6"/>
      </c>
      <c r="Q42" s="69">
        <f t="shared" si="7"/>
        <v>0</v>
      </c>
      <c r="R42" s="70">
        <f t="shared" si="8"/>
        <v>0</v>
      </c>
    </row>
    <row r="43" spans="4:18" ht="15">
      <c r="D43" s="51"/>
      <c r="E43" s="19">
        <f t="shared" si="0"/>
      </c>
      <c r="F43" s="60">
        <f t="shared" si="1"/>
      </c>
      <c r="G43" s="49">
        <f t="shared" si="10"/>
        <v>0</v>
      </c>
      <c r="H43" s="49">
        <f t="shared" si="11"/>
        <v>0</v>
      </c>
      <c r="I43" s="57">
        <f t="shared" si="12"/>
      </c>
      <c r="J43" s="49">
        <f t="shared" si="2"/>
        <v>0</v>
      </c>
      <c r="K43" s="58">
        <f t="shared" si="9"/>
      </c>
      <c r="L43" s="49">
        <f t="shared" si="3"/>
      </c>
      <c r="M43" s="49">
        <f t="shared" si="4"/>
        <v>0</v>
      </c>
      <c r="N43" s="49">
        <f>IF(E43&lt;&gt;"",SUM($M$15:M43),0)</f>
        <v>0</v>
      </c>
      <c r="O43" s="49">
        <f t="shared" si="5"/>
        <v>0</v>
      </c>
      <c r="P43" s="59">
        <f t="shared" si="6"/>
      </c>
      <c r="Q43" s="69">
        <f t="shared" si="7"/>
        <v>0</v>
      </c>
      <c r="R43" s="70">
        <f t="shared" si="8"/>
        <v>0</v>
      </c>
    </row>
    <row r="44" spans="4:18" ht="15">
      <c r="D44" s="51"/>
      <c r="E44" s="19">
        <f t="shared" si="0"/>
      </c>
      <c r="F44" s="60">
        <f t="shared" si="1"/>
      </c>
      <c r="G44" s="49">
        <f t="shared" si="10"/>
        <v>0</v>
      </c>
      <c r="H44" s="49">
        <f t="shared" si="11"/>
        <v>0</v>
      </c>
      <c r="I44" s="57">
        <f t="shared" si="12"/>
      </c>
      <c r="J44" s="49">
        <f t="shared" si="2"/>
        <v>0</v>
      </c>
      <c r="K44" s="58">
        <f t="shared" si="9"/>
      </c>
      <c r="L44" s="49">
        <f t="shared" si="3"/>
      </c>
      <c r="M44" s="49">
        <f t="shared" si="4"/>
        <v>0</v>
      </c>
      <c r="N44" s="49">
        <f>IF(E44&lt;&gt;"",SUM($M$15:M44),0)</f>
        <v>0</v>
      </c>
      <c r="O44" s="49">
        <f t="shared" si="5"/>
        <v>0</v>
      </c>
      <c r="P44" s="59">
        <f t="shared" si="6"/>
      </c>
      <c r="Q44" s="69">
        <f t="shared" si="7"/>
        <v>0</v>
      </c>
      <c r="R44" s="70">
        <f t="shared" si="8"/>
        <v>0</v>
      </c>
    </row>
    <row r="45" spans="4:18" ht="15">
      <c r="D45" s="51"/>
      <c r="E45" s="19">
        <f t="shared" si="0"/>
      </c>
      <c r="F45" s="60">
        <f t="shared" si="1"/>
      </c>
      <c r="G45" s="49">
        <f t="shared" si="10"/>
        <v>0</v>
      </c>
      <c r="H45" s="49">
        <f t="shared" si="11"/>
        <v>0</v>
      </c>
      <c r="I45" s="57">
        <f t="shared" si="12"/>
      </c>
      <c r="J45" s="49">
        <f t="shared" si="2"/>
        <v>0</v>
      </c>
      <c r="K45" s="58">
        <f t="shared" si="9"/>
      </c>
      <c r="L45" s="49">
        <f t="shared" si="3"/>
      </c>
      <c r="M45" s="49">
        <f t="shared" si="4"/>
        <v>0</v>
      </c>
      <c r="N45" s="49">
        <f>IF(E45&lt;&gt;"",SUM($M$15:M45),0)</f>
        <v>0</v>
      </c>
      <c r="O45" s="49">
        <f t="shared" si="5"/>
        <v>0</v>
      </c>
      <c r="P45" s="59">
        <f t="shared" si="6"/>
      </c>
      <c r="Q45" s="69">
        <f t="shared" si="7"/>
        <v>0</v>
      </c>
      <c r="R45" s="70">
        <f t="shared" si="8"/>
        <v>0</v>
      </c>
    </row>
    <row r="46" spans="4:18" ht="15">
      <c r="D46" s="51"/>
      <c r="E46" s="19">
        <f t="shared" si="0"/>
      </c>
      <c r="F46" s="60">
        <f t="shared" si="1"/>
      </c>
      <c r="G46" s="49">
        <f t="shared" si="10"/>
        <v>0</v>
      </c>
      <c r="H46" s="49">
        <f t="shared" si="11"/>
        <v>0</v>
      </c>
      <c r="I46" s="57">
        <f t="shared" si="12"/>
      </c>
      <c r="J46" s="49">
        <f t="shared" si="2"/>
        <v>0</v>
      </c>
      <c r="K46" s="58">
        <f t="shared" si="9"/>
      </c>
      <c r="L46" s="49">
        <f t="shared" si="3"/>
      </c>
      <c r="M46" s="49">
        <f t="shared" si="4"/>
        <v>0</v>
      </c>
      <c r="N46" s="49">
        <f>IF(E46&lt;&gt;"",SUM($M$15:M46),0)</f>
        <v>0</v>
      </c>
      <c r="O46" s="49">
        <f t="shared" si="5"/>
        <v>0</v>
      </c>
      <c r="P46" s="59">
        <f t="shared" si="6"/>
      </c>
      <c r="Q46" s="69">
        <f t="shared" si="7"/>
        <v>0</v>
      </c>
      <c r="R46" s="70">
        <f t="shared" si="8"/>
        <v>0</v>
      </c>
    </row>
    <row r="47" spans="4:18" ht="15">
      <c r="D47" s="51"/>
      <c r="E47" s="19">
        <f t="shared" si="0"/>
      </c>
      <c r="F47" s="60">
        <f t="shared" si="1"/>
      </c>
      <c r="G47" s="49">
        <f t="shared" si="10"/>
        <v>0</v>
      </c>
      <c r="H47" s="49">
        <f t="shared" si="11"/>
        <v>0</v>
      </c>
      <c r="I47" s="57">
        <f t="shared" si="12"/>
      </c>
      <c r="J47" s="49">
        <f t="shared" si="2"/>
        <v>0</v>
      </c>
      <c r="K47" s="58">
        <f t="shared" si="9"/>
      </c>
      <c r="L47" s="49">
        <f t="shared" si="3"/>
      </c>
      <c r="M47" s="49">
        <f t="shared" si="4"/>
        <v>0</v>
      </c>
      <c r="N47" s="49">
        <f>IF(E47&lt;&gt;"",SUM($M$15:M47),0)</f>
        <v>0</v>
      </c>
      <c r="O47" s="49">
        <f t="shared" si="5"/>
        <v>0</v>
      </c>
      <c r="P47" s="59">
        <f t="shared" si="6"/>
      </c>
      <c r="Q47" s="71">
        <f t="shared" si="7"/>
        <v>0</v>
      </c>
      <c r="R47" s="72"/>
    </row>
    <row r="48" spans="4:18" ht="15">
      <c r="D48" s="51"/>
      <c r="E48" s="110" t="str">
        <f>IF($E$15=1,"",CONCATENATE(MONTH(B10)-1," Meses"))</f>
        <v>1 Meses</v>
      </c>
      <c r="F48" s="117">
        <f>IF(E48="","",1/B17)</f>
        <v>0.01818181818181818</v>
      </c>
      <c r="G48" s="103">
        <f>IF(E48&lt;&gt;"",($B$12-$B$13),0)</f>
        <v>30000</v>
      </c>
      <c r="H48" s="118">
        <f>IF(E48&lt;&gt;"",F48*G48,0)</f>
        <v>545.4545454545454</v>
      </c>
      <c r="I48" s="119">
        <f>12-I15</f>
        <v>1</v>
      </c>
      <c r="J48" s="103">
        <f>+H48*I48/12</f>
        <v>45.454545454545446</v>
      </c>
      <c r="K48" s="103"/>
      <c r="L48" s="93"/>
      <c r="M48" s="103">
        <f>IF(E48&lt;&gt;"",J48+L48,0)</f>
        <v>45.454545454545446</v>
      </c>
      <c r="N48" s="103">
        <f>IF(E48&lt;&gt;"",SUM($M$15:M48),0)</f>
        <v>29999.999999999996</v>
      </c>
      <c r="O48" s="103">
        <f>+IF(E48&lt;&gt;"",($B$12-$B$13)-N48,0)</f>
        <v>3.637978807091713E-12</v>
      </c>
      <c r="P48" s="111">
        <f>IF(E48&lt;&gt;"",$B$20-P15,0)</f>
        <v>0.008333333333333345</v>
      </c>
      <c r="Q48" s="103">
        <f>IF(E48&lt;&gt;"",($B$12-$B$13)*P48,0)</f>
        <v>250.00000000000037</v>
      </c>
      <c r="R48" s="47">
        <f>IF(E48&lt;&gt;"",(J48+L48)-Q48,0)</f>
        <v>-204.54545454545493</v>
      </c>
    </row>
    <row r="49" spans="5:16" ht="15">
      <c r="E49" s="53"/>
      <c r="F49" s="54"/>
      <c r="G49" s="54"/>
      <c r="H49" s="54"/>
      <c r="I49" s="55"/>
      <c r="J49" s="54"/>
      <c r="K49" s="54"/>
      <c r="M49" s="49"/>
      <c r="O49" s="49"/>
      <c r="P49" s="49"/>
    </row>
    <row r="50" spans="5:13" ht="15">
      <c r="E50" s="28"/>
      <c r="F50" s="28"/>
      <c r="G50" s="54"/>
      <c r="H50" s="54"/>
      <c r="I50" s="28"/>
      <c r="J50" s="28"/>
      <c r="K50" s="28"/>
      <c r="M50" s="49"/>
    </row>
    <row r="51" spans="5:13" ht="15">
      <c r="E51" s="51"/>
      <c r="F51" s="56"/>
      <c r="G51" s="54"/>
      <c r="H51" s="54"/>
      <c r="I51" s="28"/>
      <c r="J51" s="28"/>
      <c r="K51" s="28"/>
      <c r="M51" s="49"/>
    </row>
    <row r="52" spans="7:13" ht="15">
      <c r="G52" s="49"/>
      <c r="H52" s="49"/>
      <c r="M52" s="49"/>
    </row>
    <row r="53" spans="7:13" ht="15">
      <c r="G53" s="49"/>
      <c r="H53" s="49"/>
      <c r="M53" s="49"/>
    </row>
  </sheetData>
  <sheetProtection/>
  <mergeCells count="18">
    <mergeCell ref="N13:N14"/>
    <mergeCell ref="O13:O14"/>
    <mergeCell ref="D17:D18"/>
    <mergeCell ref="A19:B19"/>
    <mergeCell ref="L13:L14"/>
    <mergeCell ref="F13:F14"/>
    <mergeCell ref="G13:G14"/>
    <mergeCell ref="H13:H14"/>
    <mergeCell ref="M13:M14"/>
    <mergeCell ref="E13:E14"/>
    <mergeCell ref="A1:N5"/>
    <mergeCell ref="E11:R11"/>
    <mergeCell ref="P13:Q13"/>
    <mergeCell ref="R13:R14"/>
    <mergeCell ref="B8:I8"/>
    <mergeCell ref="I13:I14"/>
    <mergeCell ref="J13:J14"/>
    <mergeCell ref="K13:K14"/>
  </mergeCells>
  <dataValidations count="1">
    <dataValidation type="list" allowBlank="1" showInputMessage="1" showErrorMessage="1" sqref="B7">
      <formula1>ITEM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pane ySplit="15" topLeftCell="A39" activePane="bottomLeft" state="frozen"/>
      <selection pane="topLeft" activeCell="D1" sqref="D1"/>
      <selection pane="bottomLeft" activeCell="H31" sqref="H31"/>
    </sheetView>
  </sheetViews>
  <sheetFormatPr defaultColWidth="11.421875" defaultRowHeight="15"/>
  <cols>
    <col min="1" max="1" width="23.8515625" style="0" customWidth="1"/>
    <col min="2" max="2" width="10.8515625" style="0" customWidth="1"/>
    <col min="3" max="3" width="12.7109375" style="0" customWidth="1"/>
    <col min="4" max="4" width="5.140625" style="0" customWidth="1"/>
    <col min="5" max="5" width="8.28125" style="0" customWidth="1"/>
    <col min="6" max="6" width="15.140625" style="0" customWidth="1"/>
    <col min="7" max="7" width="13.7109375" style="0" customWidth="1"/>
    <col min="8" max="8" width="14.28125" style="0" customWidth="1"/>
    <col min="9" max="9" width="16.57421875" style="0" bestFit="1" customWidth="1"/>
    <col min="10" max="10" width="16.00390625" style="0" customWidth="1"/>
    <col min="11" max="11" width="12.00390625" style="0" bestFit="1" customWidth="1"/>
    <col min="12" max="12" width="13.421875" style="0" customWidth="1"/>
    <col min="13" max="13" width="13.00390625" style="0" customWidth="1"/>
    <col min="14" max="14" width="12.00390625" style="0" bestFit="1" customWidth="1"/>
    <col min="15" max="15" width="13.00390625" style="0" bestFit="1" customWidth="1"/>
  </cols>
  <sheetData>
    <row r="1" spans="1:12" ht="15" customHeight="1">
      <c r="A1" s="163" t="s">
        <v>42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7" spans="1:2" ht="15" customHeight="1">
      <c r="A7" s="7" t="s">
        <v>14</v>
      </c>
      <c r="B7" s="15">
        <v>5</v>
      </c>
    </row>
    <row r="8" spans="1:11" ht="30.75" customHeight="1">
      <c r="A8" s="7" t="s">
        <v>7</v>
      </c>
      <c r="B8" s="134" t="str">
        <f>+VLOOKUP(B7,TABLA!$C$9:$E$15,2,0)</f>
        <v>Maquinaria y equipo adquirido a partir del 1.1.1991.</v>
      </c>
      <c r="C8" s="134"/>
      <c r="D8" s="134"/>
      <c r="E8" s="134"/>
      <c r="F8" s="134"/>
      <c r="G8" s="134"/>
      <c r="H8" s="134"/>
      <c r="I8" s="134"/>
      <c r="J8" s="29"/>
      <c r="K8" s="49"/>
    </row>
    <row r="9" spans="1:13" s="28" customFormat="1" ht="15" customHeight="1">
      <c r="A9" s="8" t="s">
        <v>2</v>
      </c>
      <c r="B9" s="44">
        <v>39985</v>
      </c>
      <c r="K9" s="54"/>
      <c r="M9" s="54">
        <f>+SUM(M15:M50)</f>
        <v>1.4551915228366852E-11</v>
      </c>
    </row>
    <row r="10" spans="1:7" s="28" customFormat="1" ht="16.5" customHeight="1">
      <c r="A10" s="12" t="s">
        <v>17</v>
      </c>
      <c r="B10" s="9">
        <f>+IF(DAY(B9)&lt;=14,B9-DAY(B9)+1,B9+DAY(_XLL.FIN.MES(B9,0))-DAY(B9)+1)</f>
        <v>39995</v>
      </c>
      <c r="D10" s="14"/>
      <c r="F10" s="62"/>
      <c r="G10" s="62"/>
    </row>
    <row r="11" spans="5:13" ht="15.75">
      <c r="E11" s="144" t="s">
        <v>26</v>
      </c>
      <c r="F11" s="145"/>
      <c r="G11" s="145"/>
      <c r="H11" s="145"/>
      <c r="I11" s="145"/>
      <c r="J11" s="145"/>
      <c r="K11" s="145"/>
      <c r="L11" s="145"/>
      <c r="M11" s="146"/>
    </row>
    <row r="12" spans="1:3" ht="15">
      <c r="A12" s="8" t="s">
        <v>30</v>
      </c>
      <c r="B12" s="45">
        <v>620000</v>
      </c>
      <c r="C12" s="49"/>
    </row>
    <row r="13" spans="1:13" ht="15.75" customHeight="1">
      <c r="A13" s="8" t="s">
        <v>45</v>
      </c>
      <c r="B13" s="45">
        <v>40000</v>
      </c>
      <c r="C13" s="28"/>
      <c r="E13" s="158" t="s">
        <v>15</v>
      </c>
      <c r="F13" s="149" t="s">
        <v>23</v>
      </c>
      <c r="G13" s="149" t="s">
        <v>44</v>
      </c>
      <c r="H13" s="147" t="s">
        <v>36</v>
      </c>
      <c r="I13" s="147" t="s">
        <v>37</v>
      </c>
      <c r="J13" s="149" t="s">
        <v>20</v>
      </c>
      <c r="K13" s="138" t="s">
        <v>28</v>
      </c>
      <c r="L13" s="143"/>
      <c r="M13" s="151" t="s">
        <v>39</v>
      </c>
    </row>
    <row r="14" spans="5:13" ht="15" customHeight="1">
      <c r="E14" s="158"/>
      <c r="F14" s="150"/>
      <c r="G14" s="150"/>
      <c r="H14" s="148"/>
      <c r="I14" s="148"/>
      <c r="J14" s="150"/>
      <c r="K14" s="32" t="s">
        <v>18</v>
      </c>
      <c r="L14" s="33" t="s">
        <v>25</v>
      </c>
      <c r="M14" s="152"/>
    </row>
    <row r="15" spans="1:15" ht="15">
      <c r="A15" s="8" t="s">
        <v>33</v>
      </c>
      <c r="B15" s="1">
        <f>+B20</f>
        <v>10</v>
      </c>
      <c r="C15" s="28"/>
      <c r="E15" s="101" t="str">
        <f>IF(MONTH($B$10)=1,0,CONCATENATE(12-MONTH(B10)+1," Meses"))</f>
        <v>6 Meses</v>
      </c>
      <c r="F15" s="92">
        <f>IF(E15=0,"",$B$12-$B$13)</f>
        <v>580000</v>
      </c>
      <c r="G15" s="102">
        <f>IF(E15=0,"",$B$16/12*(13-MONTH($B$10)))</f>
        <v>0.1</v>
      </c>
      <c r="H15" s="103">
        <f>IF(E15=0,"",F15*G15)</f>
        <v>58000</v>
      </c>
      <c r="I15" s="103">
        <f>IF(E15&lt;&gt;0,H15,0)</f>
        <v>58000</v>
      </c>
      <c r="J15" s="103">
        <f>IF(E15&lt;&gt;0,F15-I15,"")</f>
        <v>522000</v>
      </c>
      <c r="K15" s="104">
        <f>IF(E15&lt;&gt;0,$B$19/12*(13-MONTH($B$10)),0)</f>
        <v>0.05</v>
      </c>
      <c r="L15" s="103">
        <f>IF(E15&lt;&gt;0,$F$15*$K$15,"")</f>
        <v>29000</v>
      </c>
      <c r="M15" s="47">
        <f>IF(E15&lt;&gt;0,H15-L15,0)</f>
        <v>29000</v>
      </c>
      <c r="N15" s="61"/>
      <c r="O15" s="61"/>
    </row>
    <row r="16" spans="1:13" ht="15">
      <c r="A16" s="31" t="s">
        <v>43</v>
      </c>
      <c r="B16" s="35">
        <f>(1/B15)*2</f>
        <v>0.2</v>
      </c>
      <c r="C16" s="28"/>
      <c r="M16" s="68"/>
    </row>
    <row r="17" spans="5:15" ht="15">
      <c r="E17" s="16">
        <f>IF(E16&lt;$B$15-1,ROW(E17)-ROW($E$16),"")</f>
        <v>1</v>
      </c>
      <c r="F17" s="38">
        <f>IF(E17="","",$B$12-SUM($H$15:H16))</f>
        <v>562000</v>
      </c>
      <c r="G17" s="63">
        <f>IF(E17="","",$B$16)</f>
        <v>0.2</v>
      </c>
      <c r="H17" s="17">
        <f>IF(E17="","",F17*G17)</f>
        <v>112400</v>
      </c>
      <c r="I17" s="17">
        <f>IF(E17&lt;&gt;"",SUM($H$15:H17),0)</f>
        <v>170400</v>
      </c>
      <c r="J17" s="17">
        <f>IF(E17&lt;&gt;"",$B$12-I17,"")</f>
        <v>449600</v>
      </c>
      <c r="K17" s="18">
        <f>IF(E17="","",$B$19)</f>
        <v>0.1</v>
      </c>
      <c r="L17" s="17">
        <f>IF(E17&lt;&gt;"",($B$12-$B$13)*K17,"")</f>
        <v>58000</v>
      </c>
      <c r="M17" s="125">
        <f>IF(E17&lt;&gt;"",H17-L17,0)</f>
        <v>54400</v>
      </c>
      <c r="O17" s="61"/>
    </row>
    <row r="18" spans="1:15" ht="15">
      <c r="A18" s="153" t="s">
        <v>34</v>
      </c>
      <c r="B18" s="154"/>
      <c r="C18" s="155"/>
      <c r="E18" s="19">
        <f aca="true" t="shared" si="0" ref="E18:E48">IF(E17&lt;$B$15-1,ROW(E18)-ROW($E$16),"")</f>
        <v>2</v>
      </c>
      <c r="F18" s="30">
        <f>IF(E18="","",$B$12-SUM($H$15:H17))</f>
        <v>449600</v>
      </c>
      <c r="G18" s="36">
        <f>IF(E18="","",$B$16)</f>
        <v>0.2</v>
      </c>
      <c r="H18" s="20">
        <f>IF(E18="","",F18*G18)</f>
        <v>89920</v>
      </c>
      <c r="I18" s="20">
        <f>IF(E18&lt;&gt;"",SUM($H$15:H18),)</f>
        <v>260320</v>
      </c>
      <c r="J18" s="20">
        <f aca="true" t="shared" si="1" ref="J18:J24">IF(E18&lt;&gt;"",$B$12-I18,"")</f>
        <v>359680</v>
      </c>
      <c r="K18" s="21">
        <f aca="true" t="shared" si="2" ref="K18:K48">IF(E18="","",$B$19)</f>
        <v>0.1</v>
      </c>
      <c r="L18" s="20">
        <f>IF(E18&lt;&gt;"",($B$12-$B$13)*K18,"")</f>
        <v>58000</v>
      </c>
      <c r="M18" s="70">
        <f>IF(E18&lt;&gt;"",H18-L18,0)</f>
        <v>31920</v>
      </c>
      <c r="O18" s="61"/>
    </row>
    <row r="19" spans="1:15" ht="15">
      <c r="A19" s="8" t="s">
        <v>0</v>
      </c>
      <c r="B19" s="10">
        <f>+VLOOKUP(B7,TABLA!$C$9:$E$15,3,0)</f>
        <v>0.1</v>
      </c>
      <c r="C19" s="37" t="s">
        <v>16</v>
      </c>
      <c r="E19" s="19">
        <f t="shared" si="0"/>
        <v>3</v>
      </c>
      <c r="F19" s="30">
        <f>IF(E19="","",$B$12-SUM($H$15:H18))</f>
        <v>359680</v>
      </c>
      <c r="G19" s="36">
        <f aca="true" t="shared" si="3" ref="G19:G48">IF(E19="","",$B$16)</f>
        <v>0.2</v>
      </c>
      <c r="H19" s="20">
        <f>IF(E19="","",F19*G19)</f>
        <v>71936</v>
      </c>
      <c r="I19" s="20">
        <f>IF(E19&lt;&gt;"",SUM($H$15:H19),)</f>
        <v>332256</v>
      </c>
      <c r="J19" s="20">
        <f t="shared" si="1"/>
        <v>287744</v>
      </c>
      <c r="K19" s="21">
        <f>IF(E19="","",$B$19)</f>
        <v>0.1</v>
      </c>
      <c r="L19" s="20">
        <f aca="true" t="shared" si="4" ref="L19:L48">IF(E19&lt;&gt;"",($B$12-$B$13)*K19,"")</f>
        <v>58000</v>
      </c>
      <c r="M19" s="70">
        <f>IF(E19&lt;&gt;"",H19-L19,0)</f>
        <v>13936</v>
      </c>
      <c r="O19" s="61"/>
    </row>
    <row r="20" spans="1:15" ht="15">
      <c r="A20" s="8" t="s">
        <v>33</v>
      </c>
      <c r="B20" s="41">
        <f>INT(1/B19)</f>
        <v>10</v>
      </c>
      <c r="C20" s="42" t="s">
        <v>15</v>
      </c>
      <c r="E20" s="19">
        <f t="shared" si="0"/>
        <v>4</v>
      </c>
      <c r="F20" s="30">
        <f>IF(E20="","",$B$12-SUM($H$15:H19))</f>
        <v>287744</v>
      </c>
      <c r="G20" s="36">
        <f t="shared" si="3"/>
        <v>0.2</v>
      </c>
      <c r="H20" s="20">
        <f>IF(E20="","",F20*G20)</f>
        <v>57548.8</v>
      </c>
      <c r="I20" s="20">
        <f>IF(E20&lt;&gt;"",SUM($H$15:H20),)</f>
        <v>389804.8</v>
      </c>
      <c r="J20" s="20">
        <f t="shared" si="1"/>
        <v>230195.2</v>
      </c>
      <c r="K20" s="21">
        <f>IF(E20="","",$B$19)</f>
        <v>0.1</v>
      </c>
      <c r="L20" s="20">
        <f t="shared" si="4"/>
        <v>58000</v>
      </c>
      <c r="M20" s="70">
        <f>IF(E20&lt;&gt;"",H20-L20,0)</f>
        <v>-451.1999999999971</v>
      </c>
      <c r="O20" s="61"/>
    </row>
    <row r="21" spans="1:15" ht="15">
      <c r="A21" s="13"/>
      <c r="E21" s="19">
        <f t="shared" si="0"/>
        <v>5</v>
      </c>
      <c r="F21" s="30">
        <f>IF(E21="","",$B$12-SUM($H$15:H20))</f>
        <v>230195.2</v>
      </c>
      <c r="G21" s="36">
        <f t="shared" si="3"/>
        <v>0.2</v>
      </c>
      <c r="H21" s="20">
        <f aca="true" t="shared" si="5" ref="H21:H48">IF(E21="","",F21*G21)</f>
        <v>46039.04000000001</v>
      </c>
      <c r="I21" s="20">
        <f>IF(E21&lt;&gt;"",SUM($H$15:H21),)</f>
        <v>435843.83999999997</v>
      </c>
      <c r="J21" s="20">
        <f t="shared" si="1"/>
        <v>184156.16000000003</v>
      </c>
      <c r="K21" s="21">
        <f t="shared" si="2"/>
        <v>0.1</v>
      </c>
      <c r="L21" s="20">
        <f t="shared" si="4"/>
        <v>58000</v>
      </c>
      <c r="M21" s="70">
        <f aca="true" t="shared" si="6" ref="M21:M48">IF(E21&lt;&gt;"",H21-L21,0)</f>
        <v>-11960.959999999992</v>
      </c>
      <c r="O21" s="61"/>
    </row>
    <row r="22" spans="1:15" ht="15">
      <c r="A22" s="100" t="s">
        <v>64</v>
      </c>
      <c r="E22" s="19">
        <f t="shared" si="0"/>
        <v>6</v>
      </c>
      <c r="F22" s="30">
        <f>IF(E22="","",$B$12-SUM($H$15:H21))</f>
        <v>184156.16000000003</v>
      </c>
      <c r="G22" s="36">
        <f t="shared" si="3"/>
        <v>0.2</v>
      </c>
      <c r="H22" s="20">
        <f t="shared" si="5"/>
        <v>36831.23200000001</v>
      </c>
      <c r="I22" s="20">
        <f>IF(E22&lt;&gt;"",SUM($H$15:H22),)</f>
        <v>472675.072</v>
      </c>
      <c r="J22" s="20">
        <f t="shared" si="1"/>
        <v>147324.928</v>
      </c>
      <c r="K22" s="21">
        <f t="shared" si="2"/>
        <v>0.1</v>
      </c>
      <c r="L22" s="20">
        <f t="shared" si="4"/>
        <v>58000</v>
      </c>
      <c r="M22" s="70">
        <f t="shared" si="6"/>
        <v>-21168.76799999999</v>
      </c>
      <c r="O22" s="61"/>
    </row>
    <row r="23" spans="1:15" ht="15">
      <c r="A23" s="100" t="s">
        <v>65</v>
      </c>
      <c r="E23" s="19">
        <f t="shared" si="0"/>
        <v>7</v>
      </c>
      <c r="F23" s="30">
        <f>IF(E23="","",$B$12-SUM($H$15:H22))</f>
        <v>147324.928</v>
      </c>
      <c r="G23" s="36">
        <f t="shared" si="3"/>
        <v>0.2</v>
      </c>
      <c r="H23" s="20">
        <f t="shared" si="5"/>
        <v>29464.985600000004</v>
      </c>
      <c r="I23" s="20">
        <f>IF(E23&lt;&gt;"",SUM($H$15:H23),)</f>
        <v>502140.0576</v>
      </c>
      <c r="J23" s="20">
        <f t="shared" si="1"/>
        <v>117859.9424</v>
      </c>
      <c r="K23" s="21">
        <f t="shared" si="2"/>
        <v>0.1</v>
      </c>
      <c r="L23" s="20">
        <f t="shared" si="4"/>
        <v>58000</v>
      </c>
      <c r="M23" s="70">
        <f t="shared" si="6"/>
        <v>-28535.014399999996</v>
      </c>
      <c r="O23" s="61"/>
    </row>
    <row r="24" spans="1:15" ht="15">
      <c r="A24" s="13"/>
      <c r="E24" s="19">
        <f t="shared" si="0"/>
        <v>8</v>
      </c>
      <c r="F24" s="30">
        <f>IF(E24="","",$B$12-SUM($H$15:H23))</f>
        <v>117859.9424</v>
      </c>
      <c r="G24" s="36">
        <f t="shared" si="3"/>
        <v>0.2</v>
      </c>
      <c r="H24" s="20">
        <f t="shared" si="5"/>
        <v>23571.98848</v>
      </c>
      <c r="I24" s="20">
        <f>IF(E24&lt;&gt;"",SUM($H$15:H24),)</f>
        <v>525712.04608</v>
      </c>
      <c r="J24" s="20">
        <f t="shared" si="1"/>
        <v>94287.95392</v>
      </c>
      <c r="K24" s="21">
        <f t="shared" si="2"/>
        <v>0.1</v>
      </c>
      <c r="L24" s="20">
        <f t="shared" si="4"/>
        <v>58000</v>
      </c>
      <c r="M24" s="70">
        <f t="shared" si="6"/>
        <v>-34428.01152</v>
      </c>
      <c r="O24" s="61"/>
    </row>
    <row r="25" spans="1:15" ht="15">
      <c r="A25" s="13"/>
      <c r="E25" s="19">
        <f t="shared" si="0"/>
        <v>9</v>
      </c>
      <c r="F25" s="30">
        <f>IF(E25="","",$B$12-SUM($H$15:H24))</f>
        <v>94287.95392</v>
      </c>
      <c r="G25" s="36">
        <f t="shared" si="3"/>
        <v>0.2</v>
      </c>
      <c r="H25" s="20">
        <f t="shared" si="5"/>
        <v>18857.590784</v>
      </c>
      <c r="I25" s="20">
        <f>IF(E25&lt;&gt;"",SUM($H$15:H25),)</f>
        <v>544569.636864</v>
      </c>
      <c r="J25" s="20">
        <f>IF(E25&lt;&gt;"",$B$12-I25,"")</f>
        <v>75430.363136</v>
      </c>
      <c r="K25" s="21">
        <f t="shared" si="2"/>
        <v>0.1</v>
      </c>
      <c r="L25" s="20">
        <f t="shared" si="4"/>
        <v>58000</v>
      </c>
      <c r="M25" s="70">
        <f t="shared" si="6"/>
        <v>-39142.409216</v>
      </c>
      <c r="O25" s="61"/>
    </row>
    <row r="26" spans="1:13" ht="15">
      <c r="A26" s="13"/>
      <c r="E26" s="19">
        <f t="shared" si="0"/>
      </c>
      <c r="F26" s="30">
        <f>IF(E26="","",($B$12-$B$13)-SUM($H$15:H25))</f>
      </c>
      <c r="G26" s="36">
        <f t="shared" si="3"/>
      </c>
      <c r="H26" s="20">
        <f t="shared" si="5"/>
      </c>
      <c r="I26" s="20">
        <f>IF(E26&lt;&gt;"",SUM($H$15:H26),)</f>
        <v>0</v>
      </c>
      <c r="J26" s="20">
        <f aca="true" t="shared" si="7" ref="J26:J48">IF(E26&lt;&gt;"",$B$12-I26,"")</f>
      </c>
      <c r="K26" s="21">
        <f t="shared" si="2"/>
      </c>
      <c r="L26" s="20">
        <f t="shared" si="4"/>
      </c>
      <c r="M26" s="70">
        <f t="shared" si="6"/>
        <v>0</v>
      </c>
    </row>
    <row r="27" spans="5:13" ht="15">
      <c r="E27" s="19">
        <f t="shared" si="0"/>
      </c>
      <c r="F27" s="30">
        <f>IF(E27="","",($B$12-$B$13)-SUM($H$15:H26))</f>
      </c>
      <c r="G27" s="36">
        <f t="shared" si="3"/>
      </c>
      <c r="H27" s="20">
        <f t="shared" si="5"/>
      </c>
      <c r="I27" s="20">
        <f>IF(E27&lt;&gt;"",SUM($H$15:H27),)</f>
        <v>0</v>
      </c>
      <c r="J27" s="20">
        <f t="shared" si="7"/>
      </c>
      <c r="K27" s="21">
        <f t="shared" si="2"/>
      </c>
      <c r="L27" s="20">
        <f t="shared" si="4"/>
      </c>
      <c r="M27" s="70">
        <f t="shared" si="6"/>
        <v>0</v>
      </c>
    </row>
    <row r="28" spans="5:13" ht="15">
      <c r="E28" s="19">
        <f t="shared" si="0"/>
      </c>
      <c r="F28" s="30">
        <f>IF(E28="","",($B$12-$B$13)-SUM($H$15:H27))</f>
      </c>
      <c r="G28" s="36">
        <f t="shared" si="3"/>
      </c>
      <c r="H28" s="20">
        <f t="shared" si="5"/>
      </c>
      <c r="I28" s="20">
        <f>IF(E28&lt;&gt;"",SUM($H$15:H28),)</f>
        <v>0</v>
      </c>
      <c r="J28" s="20">
        <f t="shared" si="7"/>
      </c>
      <c r="K28" s="21">
        <f t="shared" si="2"/>
      </c>
      <c r="L28" s="20">
        <f t="shared" si="4"/>
      </c>
      <c r="M28" s="70">
        <f t="shared" si="6"/>
        <v>0</v>
      </c>
    </row>
    <row r="29" spans="5:13" ht="15">
      <c r="E29" s="19">
        <f t="shared" si="0"/>
      </c>
      <c r="F29" s="30">
        <f>IF(E29="","",($B$12-$B$13)-SUM($H$15:H28))</f>
      </c>
      <c r="G29" s="36">
        <f t="shared" si="3"/>
      </c>
      <c r="H29" s="20">
        <f t="shared" si="5"/>
      </c>
      <c r="I29" s="20">
        <f>IF(E29&lt;&gt;"",SUM($H$15:H29),)</f>
        <v>0</v>
      </c>
      <c r="J29" s="20">
        <f t="shared" si="7"/>
      </c>
      <c r="K29" s="21">
        <f t="shared" si="2"/>
      </c>
      <c r="L29" s="20">
        <f t="shared" si="4"/>
      </c>
      <c r="M29" s="70">
        <f t="shared" si="6"/>
        <v>0</v>
      </c>
    </row>
    <row r="30" spans="5:13" ht="15">
      <c r="E30" s="19">
        <f t="shared" si="0"/>
      </c>
      <c r="F30" s="30">
        <f>IF(E30="","",($B$12-$B$13)-SUM($H$15:H29))</f>
      </c>
      <c r="G30" s="36">
        <f t="shared" si="3"/>
      </c>
      <c r="H30" s="20">
        <f t="shared" si="5"/>
      </c>
      <c r="I30" s="20">
        <f>IF(E30&lt;&gt;"",SUM($H$15:H30),)</f>
        <v>0</v>
      </c>
      <c r="J30" s="20">
        <f t="shared" si="7"/>
      </c>
      <c r="K30" s="21">
        <f t="shared" si="2"/>
      </c>
      <c r="L30" s="20">
        <f t="shared" si="4"/>
      </c>
      <c r="M30" s="70">
        <f t="shared" si="6"/>
        <v>0</v>
      </c>
    </row>
    <row r="31" spans="5:13" ht="15">
      <c r="E31" s="19">
        <f t="shared" si="0"/>
      </c>
      <c r="F31" s="30">
        <f>IF(E31="","",($B$12-$B$13)-SUM($H$15:H30))</f>
      </c>
      <c r="G31" s="36">
        <f t="shared" si="3"/>
      </c>
      <c r="H31" s="20">
        <f t="shared" si="5"/>
      </c>
      <c r="I31" s="20">
        <f>IF(E31&lt;&gt;"",SUM($H$15:H31),)</f>
        <v>0</v>
      </c>
      <c r="J31" s="20">
        <f t="shared" si="7"/>
      </c>
      <c r="K31" s="21">
        <f t="shared" si="2"/>
      </c>
      <c r="L31" s="20">
        <f t="shared" si="4"/>
      </c>
      <c r="M31" s="70">
        <f t="shared" si="6"/>
        <v>0</v>
      </c>
    </row>
    <row r="32" spans="5:13" ht="15">
      <c r="E32" s="19">
        <f t="shared" si="0"/>
      </c>
      <c r="F32" s="30">
        <f>IF(E32="","",($B$12-$B$13)-SUM($H$15:H31))</f>
      </c>
      <c r="G32" s="36">
        <f t="shared" si="3"/>
      </c>
      <c r="H32" s="20">
        <f t="shared" si="5"/>
      </c>
      <c r="I32" s="20">
        <f>IF(E32&lt;&gt;"",SUM($H$15:H32),)</f>
        <v>0</v>
      </c>
      <c r="J32" s="20">
        <f t="shared" si="7"/>
      </c>
      <c r="K32" s="21">
        <f t="shared" si="2"/>
      </c>
      <c r="L32" s="20">
        <f t="shared" si="4"/>
      </c>
      <c r="M32" s="70">
        <f t="shared" si="6"/>
        <v>0</v>
      </c>
    </row>
    <row r="33" spans="5:13" ht="15">
      <c r="E33" s="19">
        <f t="shared" si="0"/>
      </c>
      <c r="F33" s="30">
        <f>IF(E33="","",($B$12-$B$13)-SUM($H$15:H32))</f>
      </c>
      <c r="G33" s="36">
        <f t="shared" si="3"/>
      </c>
      <c r="H33" s="20">
        <f t="shared" si="5"/>
      </c>
      <c r="I33" s="20">
        <f>IF(E33&lt;&gt;"",SUM($H$15:H33),)</f>
        <v>0</v>
      </c>
      <c r="J33" s="20">
        <f t="shared" si="7"/>
      </c>
      <c r="K33" s="21">
        <f t="shared" si="2"/>
      </c>
      <c r="L33" s="20">
        <f t="shared" si="4"/>
      </c>
      <c r="M33" s="70">
        <f t="shared" si="6"/>
        <v>0</v>
      </c>
    </row>
    <row r="34" spans="5:13" ht="15">
      <c r="E34" s="19">
        <f t="shared" si="0"/>
      </c>
      <c r="F34" s="30">
        <f>IF(E34="","",($B$12-$B$13)-SUM($H$15:H33))</f>
      </c>
      <c r="G34" s="36">
        <f t="shared" si="3"/>
      </c>
      <c r="H34" s="20">
        <f t="shared" si="5"/>
      </c>
      <c r="I34" s="20">
        <f>IF(E34&lt;&gt;"",SUM($H$15:H34),)</f>
        <v>0</v>
      </c>
      <c r="J34" s="20">
        <f t="shared" si="7"/>
      </c>
      <c r="K34" s="21">
        <f t="shared" si="2"/>
      </c>
      <c r="L34" s="20">
        <f t="shared" si="4"/>
      </c>
      <c r="M34" s="70">
        <f t="shared" si="6"/>
        <v>0</v>
      </c>
    </row>
    <row r="35" spans="5:13" ht="15">
      <c r="E35" s="19">
        <f t="shared" si="0"/>
      </c>
      <c r="F35" s="30">
        <f>IF(E35="","",($B$12-$B$13)-SUM($H$15:H34))</f>
      </c>
      <c r="G35" s="36">
        <f t="shared" si="3"/>
      </c>
      <c r="H35" s="20">
        <f t="shared" si="5"/>
      </c>
      <c r="I35" s="20">
        <f>IF(E35&lt;&gt;"",SUM($H$15:H35),)</f>
        <v>0</v>
      </c>
      <c r="J35" s="20">
        <f t="shared" si="7"/>
      </c>
      <c r="K35" s="21">
        <f t="shared" si="2"/>
      </c>
      <c r="L35" s="20">
        <f t="shared" si="4"/>
      </c>
      <c r="M35" s="70">
        <f t="shared" si="6"/>
        <v>0</v>
      </c>
    </row>
    <row r="36" spans="5:13" ht="15">
      <c r="E36" s="19">
        <f t="shared" si="0"/>
      </c>
      <c r="F36" s="30">
        <f>IF(E36="","",($B$12-$B$13)-SUM($H$15:H35))</f>
      </c>
      <c r="G36" s="36">
        <f t="shared" si="3"/>
      </c>
      <c r="H36" s="20">
        <f t="shared" si="5"/>
      </c>
      <c r="I36" s="20">
        <f>IF(E36&lt;&gt;"",SUM($H$15:H36),)</f>
        <v>0</v>
      </c>
      <c r="J36" s="20">
        <f t="shared" si="7"/>
      </c>
      <c r="K36" s="21">
        <f t="shared" si="2"/>
      </c>
      <c r="L36" s="20">
        <f t="shared" si="4"/>
      </c>
      <c r="M36" s="70">
        <f t="shared" si="6"/>
        <v>0</v>
      </c>
    </row>
    <row r="37" spans="5:13" ht="15">
      <c r="E37" s="19">
        <f t="shared" si="0"/>
      </c>
      <c r="F37" s="30">
        <f>IF(E37="","",($B$12-$B$13)-SUM($H$15:H36))</f>
      </c>
      <c r="G37" s="36">
        <f t="shared" si="3"/>
      </c>
      <c r="H37" s="20">
        <f t="shared" si="5"/>
      </c>
      <c r="I37" s="20">
        <f>IF(E37&lt;&gt;"",SUM($H$15:H37),)</f>
        <v>0</v>
      </c>
      <c r="J37" s="20">
        <f t="shared" si="7"/>
      </c>
      <c r="K37" s="21">
        <f t="shared" si="2"/>
      </c>
      <c r="L37" s="20">
        <f t="shared" si="4"/>
      </c>
      <c r="M37" s="70">
        <f t="shared" si="6"/>
        <v>0</v>
      </c>
    </row>
    <row r="38" spans="5:13" ht="15">
      <c r="E38" s="19">
        <f t="shared" si="0"/>
      </c>
      <c r="F38" s="30">
        <f>IF(E38="","",($B$12-$B$13)-SUM($H$15:H37))</f>
      </c>
      <c r="G38" s="36">
        <f t="shared" si="3"/>
      </c>
      <c r="H38" s="20">
        <f t="shared" si="5"/>
      </c>
      <c r="I38" s="20">
        <f>IF(E38&lt;&gt;"",SUM($H$15:H38),)</f>
        <v>0</v>
      </c>
      <c r="J38" s="20">
        <f t="shared" si="7"/>
      </c>
      <c r="K38" s="21">
        <f t="shared" si="2"/>
      </c>
      <c r="L38" s="20">
        <f t="shared" si="4"/>
      </c>
      <c r="M38" s="70">
        <f t="shared" si="6"/>
        <v>0</v>
      </c>
    </row>
    <row r="39" spans="5:13" ht="15">
      <c r="E39" s="19">
        <f t="shared" si="0"/>
      </c>
      <c r="F39" s="30">
        <f>IF(E39="","",($B$12-$B$13)-SUM($H$15:H38))</f>
      </c>
      <c r="G39" s="36">
        <f t="shared" si="3"/>
      </c>
      <c r="H39" s="20">
        <f t="shared" si="5"/>
      </c>
      <c r="I39" s="20">
        <f>IF(E39&lt;&gt;"",SUM($H$15:H39),)</f>
        <v>0</v>
      </c>
      <c r="J39" s="20">
        <f t="shared" si="7"/>
      </c>
      <c r="K39" s="21">
        <f t="shared" si="2"/>
      </c>
      <c r="L39" s="20">
        <f t="shared" si="4"/>
      </c>
      <c r="M39" s="70">
        <f t="shared" si="6"/>
        <v>0</v>
      </c>
    </row>
    <row r="40" spans="5:13" ht="15">
      <c r="E40" s="19">
        <f t="shared" si="0"/>
      </c>
      <c r="F40" s="30">
        <f>IF(E40="","",($B$12-$B$13)-SUM($H$15:H39))</f>
      </c>
      <c r="G40" s="36">
        <f t="shared" si="3"/>
      </c>
      <c r="H40" s="20">
        <f t="shared" si="5"/>
      </c>
      <c r="I40" s="20">
        <f>IF(E40&lt;&gt;"",SUM($H$15:H40),)</f>
        <v>0</v>
      </c>
      <c r="J40" s="20">
        <f t="shared" si="7"/>
      </c>
      <c r="K40" s="21">
        <f t="shared" si="2"/>
      </c>
      <c r="L40" s="20">
        <f t="shared" si="4"/>
      </c>
      <c r="M40" s="70">
        <f t="shared" si="6"/>
        <v>0</v>
      </c>
    </row>
    <row r="41" spans="5:13" ht="15">
      <c r="E41" s="19">
        <f t="shared" si="0"/>
      </c>
      <c r="F41" s="30">
        <f>IF(E41="","",($B$12-$B$13)-SUM($H$15:H40))</f>
      </c>
      <c r="G41" s="36">
        <f t="shared" si="3"/>
      </c>
      <c r="H41" s="20">
        <f t="shared" si="5"/>
      </c>
      <c r="I41" s="20">
        <f>IF(E41&lt;&gt;"",SUM($H$15:H41),)</f>
        <v>0</v>
      </c>
      <c r="J41" s="20">
        <f t="shared" si="7"/>
      </c>
      <c r="K41" s="21">
        <f t="shared" si="2"/>
      </c>
      <c r="L41" s="20">
        <f t="shared" si="4"/>
      </c>
      <c r="M41" s="70">
        <f t="shared" si="6"/>
        <v>0</v>
      </c>
    </row>
    <row r="42" spans="5:13" ht="15">
      <c r="E42" s="19">
        <f t="shared" si="0"/>
      </c>
      <c r="F42" s="30">
        <f>IF(E42="","",($B$12-$B$13)-SUM($H$15:H41))</f>
      </c>
      <c r="G42" s="36">
        <f t="shared" si="3"/>
      </c>
      <c r="H42" s="20">
        <f t="shared" si="5"/>
      </c>
      <c r="I42" s="20">
        <f>IF(E42&lt;&gt;"",SUM($H$15:H42),)</f>
        <v>0</v>
      </c>
      <c r="J42" s="20">
        <f t="shared" si="7"/>
      </c>
      <c r="K42" s="21">
        <f t="shared" si="2"/>
      </c>
      <c r="L42" s="20">
        <f t="shared" si="4"/>
      </c>
      <c r="M42" s="70">
        <f t="shared" si="6"/>
        <v>0</v>
      </c>
    </row>
    <row r="43" spans="5:13" ht="15">
      <c r="E43" s="19">
        <f t="shared" si="0"/>
      </c>
      <c r="F43" s="30">
        <f>IF(E43="","",($B$12-$B$13)-SUM($H$15:H42))</f>
      </c>
      <c r="G43" s="36">
        <f t="shared" si="3"/>
      </c>
      <c r="H43" s="20">
        <f t="shared" si="5"/>
      </c>
      <c r="I43" s="20">
        <f>IF(E43&lt;&gt;"",SUM($H$15:H43),)</f>
        <v>0</v>
      </c>
      <c r="J43" s="20">
        <f t="shared" si="7"/>
      </c>
      <c r="K43" s="21">
        <f t="shared" si="2"/>
      </c>
      <c r="L43" s="20">
        <f t="shared" si="4"/>
      </c>
      <c r="M43" s="70">
        <f t="shared" si="6"/>
        <v>0</v>
      </c>
    </row>
    <row r="44" spans="5:13" ht="15">
      <c r="E44" s="19">
        <f t="shared" si="0"/>
      </c>
      <c r="F44" s="30">
        <f>IF(E44="","",($B$12-$B$13)-SUM($H$15:H43))</f>
      </c>
      <c r="G44" s="36">
        <f t="shared" si="3"/>
      </c>
      <c r="H44" s="20">
        <f t="shared" si="5"/>
      </c>
      <c r="I44" s="20">
        <f>IF(E44&lt;&gt;"",SUM($H$15:H44),)</f>
        <v>0</v>
      </c>
      <c r="J44" s="20">
        <f t="shared" si="7"/>
      </c>
      <c r="K44" s="21">
        <f t="shared" si="2"/>
      </c>
      <c r="L44" s="20">
        <f t="shared" si="4"/>
      </c>
      <c r="M44" s="70">
        <f t="shared" si="6"/>
        <v>0</v>
      </c>
    </row>
    <row r="45" spans="5:13" ht="15">
      <c r="E45" s="19">
        <f t="shared" si="0"/>
      </c>
      <c r="F45" s="30">
        <f>IF(E45="","",($B$12-$B$13)-SUM($H$15:H44))</f>
      </c>
      <c r="G45" s="36">
        <f t="shared" si="3"/>
      </c>
      <c r="H45" s="20">
        <f t="shared" si="5"/>
      </c>
      <c r="I45" s="20">
        <f>IF(E45&lt;&gt;"",SUM($H$15:H45),)</f>
        <v>0</v>
      </c>
      <c r="J45" s="20">
        <f t="shared" si="7"/>
      </c>
      <c r="K45" s="21">
        <f t="shared" si="2"/>
      </c>
      <c r="L45" s="20">
        <f t="shared" si="4"/>
      </c>
      <c r="M45" s="70">
        <f t="shared" si="6"/>
        <v>0</v>
      </c>
    </row>
    <row r="46" spans="5:13" ht="15">
      <c r="E46" s="19">
        <f t="shared" si="0"/>
      </c>
      <c r="F46" s="30">
        <f>IF(E46="","",($B$12-$B$13)-SUM($H$15:H45))</f>
      </c>
      <c r="G46" s="36">
        <f t="shared" si="3"/>
      </c>
      <c r="H46" s="20">
        <f t="shared" si="5"/>
      </c>
      <c r="I46" s="20">
        <f>IF(E46&lt;&gt;"",SUM($H$15:H46),)</f>
        <v>0</v>
      </c>
      <c r="J46" s="20">
        <f t="shared" si="7"/>
      </c>
      <c r="K46" s="21">
        <f t="shared" si="2"/>
      </c>
      <c r="L46" s="20">
        <f t="shared" si="4"/>
      </c>
      <c r="M46" s="70">
        <f t="shared" si="6"/>
        <v>0</v>
      </c>
    </row>
    <row r="47" spans="5:13" ht="15">
      <c r="E47" s="19">
        <f t="shared" si="0"/>
      </c>
      <c r="F47" s="30">
        <f>IF(E47="","",($B$12-$B$13)-SUM($H$15:H46))</f>
      </c>
      <c r="G47" s="36">
        <f t="shared" si="3"/>
      </c>
      <c r="H47" s="20">
        <f t="shared" si="5"/>
      </c>
      <c r="I47" s="20">
        <f>IF(E47&lt;&gt;"",SUM($H$15:H47),)</f>
        <v>0</v>
      </c>
      <c r="J47" s="20">
        <f t="shared" si="7"/>
      </c>
      <c r="K47" s="21">
        <f t="shared" si="2"/>
      </c>
      <c r="L47" s="20">
        <f t="shared" si="4"/>
      </c>
      <c r="M47" s="70">
        <f t="shared" si="6"/>
        <v>0</v>
      </c>
    </row>
    <row r="48" spans="5:13" ht="15">
      <c r="E48" s="22">
        <f t="shared" si="0"/>
      </c>
      <c r="F48" s="39">
        <f>IF(E48="","",($B$12-$B$13)-SUM($H$15:H47))</f>
      </c>
      <c r="G48" s="40">
        <f t="shared" si="3"/>
      </c>
      <c r="H48" s="23">
        <f t="shared" si="5"/>
      </c>
      <c r="I48" s="23">
        <f>IF(E48&lt;&gt;"",SUM($H$15:H48),)</f>
        <v>0</v>
      </c>
      <c r="J48" s="23">
        <f t="shared" si="7"/>
      </c>
      <c r="K48" s="24">
        <f t="shared" si="2"/>
      </c>
      <c r="L48" s="23">
        <f t="shared" si="4"/>
      </c>
      <c r="M48" s="72">
        <f t="shared" si="6"/>
        <v>0</v>
      </c>
    </row>
    <row r="50" spans="5:13" ht="15">
      <c r="E50" s="110" t="str">
        <f>IF(E15&lt;&gt;0,CONCATENATE(MONTH(B10)-1," Meses"),$B$15)</f>
        <v>6 Meses</v>
      </c>
      <c r="F50" s="103">
        <f>$B$12-SUM(H15:H48)</f>
        <v>75430.363136</v>
      </c>
      <c r="G50" s="111"/>
      <c r="H50" s="103">
        <f>+F50-$B$13</f>
        <v>35430.363136</v>
      </c>
      <c r="I50" s="103">
        <f>+SUM(H15:H50)</f>
        <v>580000</v>
      </c>
      <c r="J50" s="103">
        <f>+$B$12-I50</f>
        <v>40000</v>
      </c>
      <c r="K50" s="104">
        <f>IF(E15=0,$B$19,$B$19-$K$15)</f>
        <v>0.05</v>
      </c>
      <c r="L50" s="103">
        <f>IF(E50&lt;&gt;"",($B$12-$B$13)*K50,"")</f>
        <v>29000</v>
      </c>
      <c r="M50" s="47">
        <f>IF(E50&lt;&gt;"",H50-L50,0)</f>
        <v>6430.363136</v>
      </c>
    </row>
    <row r="53" ht="15">
      <c r="F53" s="49"/>
    </row>
  </sheetData>
  <sheetProtection/>
  <mergeCells count="12">
    <mergeCell ref="I13:I14"/>
    <mergeCell ref="J13:J14"/>
    <mergeCell ref="K13:L13"/>
    <mergeCell ref="M13:M14"/>
    <mergeCell ref="G13:G14"/>
    <mergeCell ref="A18:C18"/>
    <mergeCell ref="A1:L5"/>
    <mergeCell ref="B8:I8"/>
    <mergeCell ref="E11:M11"/>
    <mergeCell ref="E13:E14"/>
    <mergeCell ref="F13:F14"/>
    <mergeCell ref="H13:H14"/>
  </mergeCells>
  <dataValidations count="1">
    <dataValidation type="list" allowBlank="1" showInputMessage="1" showErrorMessage="1" sqref="B7">
      <formula1>ITEM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pane ySplit="5" topLeftCell="A6" activePane="bottomLeft" state="frozen"/>
      <selection pane="topLeft" activeCell="D1" sqref="D1"/>
      <selection pane="bottomLeft" activeCell="G32" sqref="G32"/>
    </sheetView>
  </sheetViews>
  <sheetFormatPr defaultColWidth="11.421875" defaultRowHeight="15"/>
  <cols>
    <col min="1" max="1" width="10.140625" style="0" customWidth="1"/>
    <col min="2" max="2" width="10.8515625" style="0" customWidth="1"/>
    <col min="3" max="3" width="12.7109375" style="0" customWidth="1"/>
    <col min="4" max="4" width="12.00390625" style="0" customWidth="1"/>
    <col min="5" max="5" width="13.7109375" style="0" customWidth="1"/>
    <col min="6" max="6" width="14.28125" style="0" customWidth="1"/>
    <col min="7" max="7" width="17.8515625" style="0" customWidth="1"/>
    <col min="8" max="8" width="17.57421875" style="0" customWidth="1"/>
    <col min="9" max="9" width="33.28125" style="0" customWidth="1"/>
    <col min="10" max="10" width="13.421875" style="0" customWidth="1"/>
    <col min="11" max="11" width="13.00390625" style="0" customWidth="1"/>
    <col min="12" max="12" width="12.00390625" style="0" bestFit="1" customWidth="1"/>
    <col min="13" max="13" width="13.00390625" style="0" bestFit="1" customWidth="1"/>
  </cols>
  <sheetData>
    <row r="1" spans="1:10" ht="15" customHeight="1">
      <c r="A1" s="105"/>
      <c r="B1" s="105"/>
      <c r="C1" s="105"/>
      <c r="D1" s="105"/>
      <c r="E1" s="105"/>
      <c r="F1" s="105"/>
      <c r="G1" s="105"/>
      <c r="H1" s="105"/>
      <c r="I1" s="105"/>
      <c r="J1" t="s">
        <v>66</v>
      </c>
    </row>
    <row r="2" spans="1:9" ht="1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5" customHeight="1">
      <c r="A3" s="105"/>
      <c r="B3" s="105"/>
      <c r="C3" s="105"/>
      <c r="D3" s="105"/>
      <c r="E3" s="105"/>
      <c r="F3" s="105"/>
      <c r="G3" s="105"/>
      <c r="H3" s="105"/>
      <c r="I3" s="105"/>
    </row>
    <row r="4" spans="1:9" ht="15" customHeight="1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5" customHeight="1">
      <c r="A5" s="105"/>
      <c r="B5" s="105"/>
      <c r="C5" s="105"/>
      <c r="D5" s="105"/>
      <c r="E5" s="105"/>
      <c r="F5" s="105"/>
      <c r="G5" s="105"/>
      <c r="H5" s="105"/>
      <c r="I5" s="105"/>
    </row>
    <row r="8" ht="15">
      <c r="C8" s="49"/>
    </row>
    <row r="9" spans="1:3" ht="15">
      <c r="A9" s="83" t="s">
        <v>54</v>
      </c>
      <c r="B9" s="84"/>
      <c r="C9" s="108">
        <v>150000</v>
      </c>
    </row>
    <row r="10" spans="1:8" ht="15.75">
      <c r="A10" s="81" t="s">
        <v>55</v>
      </c>
      <c r="B10" s="82"/>
      <c r="C10" s="108">
        <v>20000</v>
      </c>
      <c r="E10" s="165" t="s">
        <v>67</v>
      </c>
      <c r="F10" s="165"/>
      <c r="G10" s="165"/>
      <c r="H10" s="165"/>
    </row>
    <row r="11" ht="15">
      <c r="A11" s="79"/>
    </row>
    <row r="12" spans="1:3" ht="15">
      <c r="A12" s="80" t="s">
        <v>60</v>
      </c>
      <c r="B12" s="78"/>
      <c r="C12" s="109">
        <v>10</v>
      </c>
    </row>
    <row r="13" spans="1:8" ht="15">
      <c r="A13" s="79"/>
      <c r="E13" s="164" t="s">
        <v>59</v>
      </c>
      <c r="F13" s="164"/>
      <c r="G13" s="164"/>
      <c r="H13" s="164"/>
    </row>
    <row r="14" spans="1:9" ht="15">
      <c r="A14" s="80" t="s">
        <v>25</v>
      </c>
      <c r="B14" s="78"/>
      <c r="C14" s="109">
        <v>1</v>
      </c>
      <c r="D14" s="74"/>
      <c r="E14" s="76" t="s">
        <v>53</v>
      </c>
      <c r="F14" s="77" t="s">
        <v>56</v>
      </c>
      <c r="G14" s="76" t="s">
        <v>57</v>
      </c>
      <c r="H14" s="76" t="s">
        <v>58</v>
      </c>
      <c r="I14" s="75"/>
    </row>
    <row r="15" spans="4:10" ht="15">
      <c r="D15" s="73"/>
      <c r="E15" s="106">
        <f>SLN(C9,C10,C12)</f>
        <v>13000</v>
      </c>
      <c r="F15" s="106">
        <f>+SYD(C9,C10,C12,C14)</f>
        <v>23636.363636363636</v>
      </c>
      <c r="G15" s="107">
        <f>DDB(C9,C10,C12,C14,2)</f>
        <v>30000</v>
      </c>
      <c r="H15" s="107">
        <f>DB(C9,C10,C12,C14,12)</f>
        <v>27300</v>
      </c>
      <c r="I15" s="61"/>
      <c r="J15" s="49"/>
    </row>
    <row r="17" spans="5:8" ht="15">
      <c r="E17" s="166" t="s">
        <v>68</v>
      </c>
      <c r="F17" s="166"/>
      <c r="G17" s="166"/>
      <c r="H17" s="166"/>
    </row>
  </sheetData>
  <sheetProtection/>
  <mergeCells count="3">
    <mergeCell ref="E13:H13"/>
    <mergeCell ref="E10:H10"/>
    <mergeCell ref="E17:H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Khipu - Contabilidad</cp:lastModifiedBy>
  <dcterms:created xsi:type="dcterms:W3CDTF">2009-09-24T07:32:19Z</dcterms:created>
  <dcterms:modified xsi:type="dcterms:W3CDTF">2015-02-06T18:58:16Z</dcterms:modified>
  <cp:category/>
  <cp:version/>
  <cp:contentType/>
  <cp:contentStatus/>
</cp:coreProperties>
</file>